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19200" windowHeight="7050" firstSheet="3" activeTab="5"/>
  </bookViews>
  <sheets>
    <sheet name="00_Planning_Control_Tower" sheetId="1" r:id="rId1"/>
    <sheet name="01_Business_Case" sheetId="2" r:id="rId2"/>
    <sheet name="02_Driver_Dictionary" sheetId="3" r:id="rId3"/>
    <sheet name="03_Rolling_Forecast_Template" sheetId="4" r:id="rId4"/>
    <sheet name="04_Worked_Example" sheetId="5" r:id="rId5"/>
    <sheet name="05_Executive_Control_Tower" sheetId="6" r:id="rId6"/>
  </sheets>
  <calcPr calcId="162913"/>
</workbook>
</file>

<file path=xl/calcChain.xml><?xml version="1.0" encoding="utf-8"?>
<calcChain xmlns="http://schemas.openxmlformats.org/spreadsheetml/2006/main">
  <c r="G39" i="6" l="1"/>
  <c r="G38" i="6"/>
  <c r="G37" i="6"/>
  <c r="G36" i="6"/>
  <c r="G35" i="6"/>
  <c r="D30" i="6"/>
  <c r="B30" i="6"/>
  <c r="G18" i="6"/>
  <c r="F18" i="6"/>
  <c r="E18" i="6"/>
  <c r="D18" i="6"/>
  <c r="C18" i="6"/>
  <c r="B18" i="6"/>
  <c r="M80" i="5"/>
  <c r="K80" i="5"/>
  <c r="G75" i="5"/>
  <c r="F75" i="5"/>
  <c r="E75" i="5"/>
  <c r="D75" i="5"/>
  <c r="C75" i="5"/>
  <c r="B75" i="5"/>
  <c r="T51" i="5"/>
  <c r="K51" i="5"/>
  <c r="J51" i="5"/>
  <c r="I51" i="5"/>
  <c r="H51" i="5"/>
  <c r="G51" i="5"/>
  <c r="F51" i="5"/>
  <c r="E51" i="5"/>
  <c r="D51" i="5"/>
  <c r="C51" i="5"/>
  <c r="B51" i="5"/>
  <c r="Z49" i="5"/>
  <c r="Y49" i="5"/>
  <c r="V49" i="5"/>
  <c r="U49" i="5"/>
  <c r="R49" i="5"/>
  <c r="Q49" i="5"/>
  <c r="P49" i="5"/>
  <c r="N49" i="5"/>
  <c r="M49" i="5"/>
  <c r="J49" i="5"/>
  <c r="I49" i="5"/>
  <c r="F49" i="5"/>
  <c r="E49" i="5"/>
  <c r="E50" i="5" s="1"/>
  <c r="B49" i="5"/>
  <c r="AB48" i="5"/>
  <c r="AB49" i="5" s="1"/>
  <c r="AA48" i="5"/>
  <c r="AA49" i="5" s="1"/>
  <c r="Z48" i="5"/>
  <c r="Y48" i="5"/>
  <c r="X48" i="5"/>
  <c r="X49" i="5" s="1"/>
  <c r="W48" i="5"/>
  <c r="W49" i="5" s="1"/>
  <c r="V48" i="5"/>
  <c r="U48" i="5"/>
  <c r="T48" i="5"/>
  <c r="T49" i="5" s="1"/>
  <c r="S48" i="5"/>
  <c r="S49" i="5" s="1"/>
  <c r="R48" i="5"/>
  <c r="Q48" i="5"/>
  <c r="P48" i="5"/>
  <c r="O48" i="5"/>
  <c r="O49" i="5" s="1"/>
  <c r="N48" i="5"/>
  <c r="M48" i="5"/>
  <c r="L48" i="5"/>
  <c r="L49" i="5" s="1"/>
  <c r="K48" i="5"/>
  <c r="K49" i="5" s="1"/>
  <c r="J48" i="5"/>
  <c r="I48" i="5"/>
  <c r="H48" i="5"/>
  <c r="H49" i="5" s="1"/>
  <c r="H50" i="5" s="1"/>
  <c r="G48" i="5"/>
  <c r="G49" i="5" s="1"/>
  <c r="F48" i="5"/>
  <c r="E48" i="5"/>
  <c r="D48" i="5"/>
  <c r="D49" i="5" s="1"/>
  <c r="D50" i="5" s="1"/>
  <c r="C48" i="5"/>
  <c r="C49" i="5" s="1"/>
  <c r="B48" i="5"/>
  <c r="Z47" i="5"/>
  <c r="W47" i="5"/>
  <c r="R47" i="5"/>
  <c r="O47" i="5"/>
  <c r="J47" i="5"/>
  <c r="I47" i="5"/>
  <c r="H47" i="5"/>
  <c r="G47" i="5"/>
  <c r="F47" i="5"/>
  <c r="E47" i="5"/>
  <c r="D47" i="5"/>
  <c r="C47" i="5"/>
  <c r="B47" i="5"/>
  <c r="Z46" i="5"/>
  <c r="U46" i="5"/>
  <c r="R46" i="5"/>
  <c r="M46" i="5"/>
  <c r="J46" i="5"/>
  <c r="J50" i="5" s="1"/>
  <c r="I46" i="5"/>
  <c r="H46" i="5"/>
  <c r="G46" i="5"/>
  <c r="F46" i="5"/>
  <c r="F50" i="5" s="1"/>
  <c r="E46" i="5"/>
  <c r="D46" i="5"/>
  <c r="C46" i="5"/>
  <c r="B46" i="5"/>
  <c r="B50" i="5" s="1"/>
  <c r="X45" i="5"/>
  <c r="U45" i="5"/>
  <c r="P45" i="5"/>
  <c r="M45" i="5"/>
  <c r="J45" i="5"/>
  <c r="I45" i="5"/>
  <c r="I50" i="5" s="1"/>
  <c r="H45" i="5"/>
  <c r="G45" i="5"/>
  <c r="F45" i="5"/>
  <c r="E45" i="5"/>
  <c r="D45" i="5"/>
  <c r="C45" i="5"/>
  <c r="B45" i="5"/>
  <c r="AB44" i="5"/>
  <c r="AA44" i="5"/>
  <c r="T44" i="5"/>
  <c r="S44" i="5"/>
  <c r="L44" i="5"/>
  <c r="K44" i="5"/>
  <c r="J44" i="5"/>
  <c r="I44" i="5"/>
  <c r="H44" i="5"/>
  <c r="G44" i="5"/>
  <c r="F44" i="5"/>
  <c r="E44" i="5"/>
  <c r="D44" i="5"/>
  <c r="C44" i="5"/>
  <c r="B44" i="5"/>
  <c r="T7" i="5"/>
  <c r="S7" i="5"/>
  <c r="R7" i="5"/>
  <c r="Q7" i="5"/>
  <c r="S51" i="5" s="1"/>
  <c r="P7" i="5"/>
  <c r="AA51" i="5" s="1"/>
  <c r="O7" i="5"/>
  <c r="N7" i="5"/>
  <c r="M7" i="5"/>
  <c r="H50" i="4"/>
  <c r="S49" i="4"/>
  <c r="R49" i="4"/>
  <c r="O49" i="4"/>
  <c r="N49" i="4"/>
  <c r="K49" i="4"/>
  <c r="J49" i="4"/>
  <c r="G49" i="4"/>
  <c r="F49" i="4"/>
  <c r="C49" i="4"/>
  <c r="B49" i="4"/>
  <c r="S48" i="4"/>
  <c r="R48" i="4"/>
  <c r="Q48" i="4"/>
  <c r="Q49" i="4" s="1"/>
  <c r="P48" i="4"/>
  <c r="P49" i="4" s="1"/>
  <c r="O48" i="4"/>
  <c r="N48" i="4"/>
  <c r="M48" i="4"/>
  <c r="M49" i="4" s="1"/>
  <c r="L48" i="4"/>
  <c r="L49" i="4" s="1"/>
  <c r="K48" i="4"/>
  <c r="J48" i="4"/>
  <c r="I48" i="4"/>
  <c r="I49" i="4" s="1"/>
  <c r="H48" i="4"/>
  <c r="H49" i="4" s="1"/>
  <c r="G48" i="4"/>
  <c r="F48" i="4"/>
  <c r="E48" i="4"/>
  <c r="E49" i="4" s="1"/>
  <c r="D48" i="4"/>
  <c r="D49" i="4" s="1"/>
  <c r="C48" i="4"/>
  <c r="B48" i="4"/>
  <c r="S47" i="4"/>
  <c r="R47" i="4"/>
  <c r="Q47" i="4"/>
  <c r="P47" i="4"/>
  <c r="O47" i="4"/>
  <c r="N47" i="4"/>
  <c r="M47" i="4"/>
  <c r="L47" i="4"/>
  <c r="K47" i="4"/>
  <c r="J47" i="4"/>
  <c r="I47" i="4"/>
  <c r="H47" i="4"/>
  <c r="G47" i="4"/>
  <c r="F47" i="4"/>
  <c r="E47" i="4"/>
  <c r="D47" i="4"/>
  <c r="C47" i="4"/>
  <c r="B47" i="4"/>
  <c r="S46" i="4"/>
  <c r="R46" i="4"/>
  <c r="Q46" i="4"/>
  <c r="P46" i="4"/>
  <c r="O46" i="4"/>
  <c r="N46" i="4"/>
  <c r="M46" i="4"/>
  <c r="L46" i="4"/>
  <c r="K46" i="4"/>
  <c r="J46" i="4"/>
  <c r="I46" i="4"/>
  <c r="H46" i="4"/>
  <c r="G46" i="4"/>
  <c r="F46" i="4"/>
  <c r="E46" i="4"/>
  <c r="D46" i="4"/>
  <c r="C46" i="4"/>
  <c r="B46" i="4"/>
  <c r="S45" i="4"/>
  <c r="R45" i="4"/>
  <c r="Q45" i="4"/>
  <c r="P45" i="4"/>
  <c r="O45" i="4"/>
  <c r="N45" i="4"/>
  <c r="M45" i="4"/>
  <c r="L45" i="4"/>
  <c r="K45" i="4"/>
  <c r="J45" i="4"/>
  <c r="I45" i="4"/>
  <c r="H45" i="4"/>
  <c r="G45" i="4"/>
  <c r="F45" i="4"/>
  <c r="E45" i="4"/>
  <c r="D45" i="4"/>
  <c r="C45" i="4"/>
  <c r="B45" i="4"/>
  <c r="S44" i="4"/>
  <c r="S50" i="4" s="1"/>
  <c r="R44" i="4"/>
  <c r="Q44" i="4"/>
  <c r="Q50" i="4" s="1"/>
  <c r="P44" i="4"/>
  <c r="P50" i="4" s="1"/>
  <c r="O44" i="4"/>
  <c r="O50" i="4" s="1"/>
  <c r="N44" i="4"/>
  <c r="M44" i="4"/>
  <c r="M50" i="4" s="1"/>
  <c r="L44" i="4"/>
  <c r="L50" i="4" s="1"/>
  <c r="K44" i="4"/>
  <c r="K50" i="4" s="1"/>
  <c r="J44" i="4"/>
  <c r="I44" i="4"/>
  <c r="I50" i="4" s="1"/>
  <c r="H44" i="4"/>
  <c r="G44" i="4"/>
  <c r="G50" i="4" s="1"/>
  <c r="F44" i="4"/>
  <c r="E44" i="4"/>
  <c r="E50" i="4" s="1"/>
  <c r="D44" i="4"/>
  <c r="D50" i="4" s="1"/>
  <c r="C44" i="4"/>
  <c r="C50" i="4" s="1"/>
  <c r="B44" i="4"/>
  <c r="T8" i="4"/>
  <c r="S8" i="4"/>
  <c r="R8" i="4"/>
  <c r="Q8" i="4"/>
  <c r="P8" i="4"/>
  <c r="O8" i="4"/>
  <c r="N8" i="4"/>
  <c r="M8" i="4"/>
  <c r="L63" i="4" l="1"/>
  <c r="L64" i="4" s="1"/>
  <c r="L61" i="4"/>
  <c r="L59" i="4"/>
  <c r="L57" i="4"/>
  <c r="L55" i="4"/>
  <c r="L53" i="4"/>
  <c r="L65" i="4"/>
  <c r="L60" i="4"/>
  <c r="L56" i="4"/>
  <c r="L52" i="4"/>
  <c r="L51" i="4"/>
  <c r="L58" i="4"/>
  <c r="L62" i="4"/>
  <c r="L54" i="4"/>
  <c r="D63" i="4"/>
  <c r="D64" i="4" s="1"/>
  <c r="D61" i="4"/>
  <c r="D59" i="4"/>
  <c r="D57" i="4"/>
  <c r="D55" i="4"/>
  <c r="D53" i="4"/>
  <c r="D65" i="4"/>
  <c r="D60" i="4"/>
  <c r="D56" i="4"/>
  <c r="D51" i="4"/>
  <c r="D62" i="4"/>
  <c r="D54" i="4"/>
  <c r="D52" i="4"/>
  <c r="D58" i="4"/>
  <c r="P63" i="4"/>
  <c r="P64" i="4" s="1"/>
  <c r="P61" i="4"/>
  <c r="P59" i="4"/>
  <c r="P57" i="4"/>
  <c r="P55" i="4"/>
  <c r="P53" i="4"/>
  <c r="P65" i="4"/>
  <c r="P62" i="4"/>
  <c r="P58" i="4"/>
  <c r="P54" i="4"/>
  <c r="P51" i="4"/>
  <c r="P56" i="4"/>
  <c r="P52" i="4"/>
  <c r="P60" i="4"/>
  <c r="G63" i="4"/>
  <c r="G64" i="4" s="1"/>
  <c r="G61" i="4"/>
  <c r="G59" i="4"/>
  <c r="G57" i="4"/>
  <c r="G55" i="4"/>
  <c r="G53" i="4"/>
  <c r="G60" i="4"/>
  <c r="G56" i="4"/>
  <c r="G52" i="4"/>
  <c r="G58" i="4"/>
  <c r="G54" i="4"/>
  <c r="G62" i="4"/>
  <c r="G51" i="4"/>
  <c r="G65" i="4"/>
  <c r="O63" i="4"/>
  <c r="O64" i="4" s="1"/>
  <c r="O61" i="4"/>
  <c r="O59" i="4"/>
  <c r="O57" i="4"/>
  <c r="O55" i="4"/>
  <c r="O53" i="4"/>
  <c r="O60" i="4"/>
  <c r="O56" i="4"/>
  <c r="O52" i="4"/>
  <c r="O62" i="4"/>
  <c r="O65" i="4"/>
  <c r="O58" i="4"/>
  <c r="O54" i="4"/>
  <c r="O51" i="4"/>
  <c r="H63" i="4"/>
  <c r="H64" i="4" s="1"/>
  <c r="H61" i="4"/>
  <c r="H59" i="4"/>
  <c r="H57" i="4"/>
  <c r="H55" i="4"/>
  <c r="H53" i="4"/>
  <c r="H65" i="4"/>
  <c r="H62" i="4"/>
  <c r="H58" i="4"/>
  <c r="H54" i="4"/>
  <c r="H51" i="4"/>
  <c r="F56" i="5"/>
  <c r="F52" i="5"/>
  <c r="V17" i="6"/>
  <c r="F55" i="5"/>
  <c r="F54" i="5"/>
  <c r="F53" i="5"/>
  <c r="F60" i="5"/>
  <c r="F65" i="5"/>
  <c r="D65" i="5"/>
  <c r="D54" i="5"/>
  <c r="V15" i="6"/>
  <c r="D60" i="5"/>
  <c r="D55" i="5"/>
  <c r="D56" i="5"/>
  <c r="D53" i="5"/>
  <c r="D52" i="5"/>
  <c r="E65" i="4"/>
  <c r="E62" i="4"/>
  <c r="E60" i="4"/>
  <c r="E58" i="4"/>
  <c r="E56" i="4"/>
  <c r="E54" i="4"/>
  <c r="E61" i="4"/>
  <c r="E57" i="4"/>
  <c r="E53" i="4"/>
  <c r="E51" i="4"/>
  <c r="E59" i="4"/>
  <c r="E55" i="4"/>
  <c r="E63" i="4"/>
  <c r="E64" i="4" s="1"/>
  <c r="E52" i="4"/>
  <c r="M65" i="4"/>
  <c r="M62" i="4"/>
  <c r="M60" i="4"/>
  <c r="M58" i="4"/>
  <c r="M56" i="4"/>
  <c r="M54" i="4"/>
  <c r="M52" i="4"/>
  <c r="M61" i="4"/>
  <c r="M57" i="4"/>
  <c r="M53" i="4"/>
  <c r="M51" i="4"/>
  <c r="M63" i="4"/>
  <c r="M64" i="4" s="1"/>
  <c r="M59" i="4"/>
  <c r="M55" i="4"/>
  <c r="H56" i="4"/>
  <c r="Q50" i="5"/>
  <c r="C63" i="4"/>
  <c r="C64" i="4" s="1"/>
  <c r="C61" i="4"/>
  <c r="C59" i="4"/>
  <c r="C57" i="4"/>
  <c r="C55" i="4"/>
  <c r="C53" i="4"/>
  <c r="C62" i="4"/>
  <c r="C58" i="4"/>
  <c r="C54" i="4"/>
  <c r="C52" i="4"/>
  <c r="C60" i="4"/>
  <c r="C56" i="4"/>
  <c r="C51" i="4"/>
  <c r="C65" i="4"/>
  <c r="K63" i="4"/>
  <c r="K64" i="4" s="1"/>
  <c r="K61" i="4"/>
  <c r="K59" i="4"/>
  <c r="K57" i="4"/>
  <c r="K55" i="4"/>
  <c r="K53" i="4"/>
  <c r="K62" i="4"/>
  <c r="K58" i="4"/>
  <c r="K54" i="4"/>
  <c r="K56" i="4"/>
  <c r="K52" i="4"/>
  <c r="K51" i="4"/>
  <c r="K65" i="4"/>
  <c r="K60" i="4"/>
  <c r="S63" i="4"/>
  <c r="S64" i="4" s="1"/>
  <c r="S61" i="4"/>
  <c r="S59" i="4"/>
  <c r="S57" i="4"/>
  <c r="S55" i="4"/>
  <c r="S53" i="4"/>
  <c r="S62" i="4"/>
  <c r="S58" i="4"/>
  <c r="S54" i="4"/>
  <c r="S60" i="4"/>
  <c r="S51" i="4"/>
  <c r="S65" i="4"/>
  <c r="S56" i="4"/>
  <c r="S52" i="4"/>
  <c r="H52" i="4"/>
  <c r="V13" i="6"/>
  <c r="B56" i="5"/>
  <c r="B52" i="5"/>
  <c r="B65" i="5"/>
  <c r="B54" i="5"/>
  <c r="B53" i="5"/>
  <c r="B60" i="5"/>
  <c r="B55" i="5"/>
  <c r="B57" i="5" s="1"/>
  <c r="V21" i="6"/>
  <c r="J65" i="5"/>
  <c r="J60" i="5"/>
  <c r="J56" i="5"/>
  <c r="J52" i="5"/>
  <c r="J55" i="5"/>
  <c r="J57" i="5" s="1"/>
  <c r="J54" i="5"/>
  <c r="J53" i="5"/>
  <c r="V19" i="6"/>
  <c r="H54" i="5"/>
  <c r="H65" i="5"/>
  <c r="H60" i="5"/>
  <c r="H56" i="5"/>
  <c r="H53" i="5"/>
  <c r="H52" i="5"/>
  <c r="H55" i="5"/>
  <c r="I65" i="4"/>
  <c r="I62" i="4"/>
  <c r="I60" i="4"/>
  <c r="I58" i="4"/>
  <c r="I56" i="4"/>
  <c r="I54" i="4"/>
  <c r="I52" i="4"/>
  <c r="I63" i="4"/>
  <c r="I64" i="4" s="1"/>
  <c r="I59" i="4"/>
  <c r="I55" i="4"/>
  <c r="I51" i="4"/>
  <c r="I57" i="4"/>
  <c r="I53" i="4"/>
  <c r="I61" i="4"/>
  <c r="Q65" i="4"/>
  <c r="Q62" i="4"/>
  <c r="Q60" i="4"/>
  <c r="Q58" i="4"/>
  <c r="Q56" i="4"/>
  <c r="Q54" i="4"/>
  <c r="Q52" i="4"/>
  <c r="Q63" i="4"/>
  <c r="Q64" i="4" s="1"/>
  <c r="Q59" i="4"/>
  <c r="Q55" i="4"/>
  <c r="Q51" i="4"/>
  <c r="Q61" i="4"/>
  <c r="Q57" i="4"/>
  <c r="Q53" i="4"/>
  <c r="B50" i="4"/>
  <c r="F50" i="4"/>
  <c r="J50" i="4"/>
  <c r="N50" i="4"/>
  <c r="R50" i="4"/>
  <c r="H60" i="4"/>
  <c r="I65" i="5"/>
  <c r="I55" i="5"/>
  <c r="I60" i="5"/>
  <c r="I56" i="5"/>
  <c r="V20" i="6"/>
  <c r="I53" i="5"/>
  <c r="I54" i="5"/>
  <c r="I52" i="5"/>
  <c r="V16" i="6"/>
  <c r="E65" i="5"/>
  <c r="E60" i="5"/>
  <c r="E55" i="5"/>
  <c r="E56" i="5"/>
  <c r="E54" i="5"/>
  <c r="E53" i="5"/>
  <c r="E57" i="5" s="1"/>
  <c r="E52" i="5"/>
  <c r="G50" i="5"/>
  <c r="N51" i="5"/>
  <c r="Y47" i="5"/>
  <c r="U47" i="5"/>
  <c r="Q47" i="5"/>
  <c r="M47" i="5"/>
  <c r="AB46" i="5"/>
  <c r="X46" i="5"/>
  <c r="T46" i="5"/>
  <c r="P46" i="5"/>
  <c r="L46" i="5"/>
  <c r="AA45" i="5"/>
  <c r="AA50" i="5" s="1"/>
  <c r="W45" i="5"/>
  <c r="S45" i="5"/>
  <c r="S50" i="5" s="1"/>
  <c r="O45" i="5"/>
  <c r="K45" i="5"/>
  <c r="Z44" i="5"/>
  <c r="V44" i="5"/>
  <c r="R44" i="5"/>
  <c r="R50" i="5" s="1"/>
  <c r="N44" i="5"/>
  <c r="AB47" i="5"/>
  <c r="X47" i="5"/>
  <c r="T47" i="5"/>
  <c r="T50" i="5" s="1"/>
  <c r="P47" i="5"/>
  <c r="L47" i="5"/>
  <c r="AA46" i="5"/>
  <c r="W46" i="5"/>
  <c r="W50" i="5" s="1"/>
  <c r="S46" i="5"/>
  <c r="O46" i="5"/>
  <c r="K46" i="5"/>
  <c r="Z45" i="5"/>
  <c r="V45" i="5"/>
  <c r="R45" i="5"/>
  <c r="N45" i="5"/>
  <c r="Y44" i="5"/>
  <c r="Y50" i="5" s="1"/>
  <c r="U44" i="5"/>
  <c r="U50" i="5" s="1"/>
  <c r="Q44" i="5"/>
  <c r="M44" i="5"/>
  <c r="M50" i="5" s="1"/>
  <c r="O44" i="5"/>
  <c r="O50" i="5" s="1"/>
  <c r="W44" i="5"/>
  <c r="Q45" i="5"/>
  <c r="Y45" i="5"/>
  <c r="N46" i="5"/>
  <c r="V46" i="5"/>
  <c r="K47" i="5"/>
  <c r="S47" i="5"/>
  <c r="AA47" i="5"/>
  <c r="O51" i="5"/>
  <c r="Z51" i="5"/>
  <c r="C50" i="5"/>
  <c r="K50" i="5"/>
  <c r="X51" i="5"/>
  <c r="P44" i="5"/>
  <c r="P50" i="5" s="1"/>
  <c r="X44" i="5"/>
  <c r="X50" i="5" s="1"/>
  <c r="L45" i="5"/>
  <c r="L50" i="5" s="1"/>
  <c r="T45" i="5"/>
  <c r="AB45" i="5"/>
  <c r="AB50" i="5" s="1"/>
  <c r="Q46" i="5"/>
  <c r="Y46" i="5"/>
  <c r="N47" i="5"/>
  <c r="V47" i="5"/>
  <c r="L51" i="5"/>
  <c r="P51" i="5"/>
  <c r="V51" i="5"/>
  <c r="Y51" i="5"/>
  <c r="U51" i="5"/>
  <c r="Q51" i="5"/>
  <c r="M51" i="5"/>
  <c r="R51" i="5"/>
  <c r="W51" i="5"/>
  <c r="AB51" i="5"/>
  <c r="V34" i="6" l="1"/>
  <c r="W60" i="5"/>
  <c r="W53" i="5"/>
  <c r="W57" i="5" s="1"/>
  <c r="W65" i="5"/>
  <c r="W52" i="5"/>
  <c r="W56" i="5"/>
  <c r="W54" i="5"/>
  <c r="W55" i="5"/>
  <c r="T65" i="5"/>
  <c r="T54" i="5"/>
  <c r="V31" i="6"/>
  <c r="T60" i="5"/>
  <c r="T55" i="5"/>
  <c r="T56" i="5"/>
  <c r="T52" i="5"/>
  <c r="T53" i="5"/>
  <c r="T57" i="5" s="1"/>
  <c r="W16" i="6"/>
  <c r="E66" i="5"/>
  <c r="E58" i="5"/>
  <c r="V32" i="6"/>
  <c r="U65" i="5"/>
  <c r="U60" i="5"/>
  <c r="U55" i="5"/>
  <c r="U56" i="5"/>
  <c r="U57" i="5"/>
  <c r="U54" i="5"/>
  <c r="U53" i="5"/>
  <c r="U52" i="5"/>
  <c r="V23" i="6"/>
  <c r="L54" i="5"/>
  <c r="L55" i="5"/>
  <c r="L65" i="5"/>
  <c r="L53" i="5"/>
  <c r="L57" i="5" s="1"/>
  <c r="L52" i="5"/>
  <c r="L60" i="5"/>
  <c r="L56" i="5"/>
  <c r="X54" i="5"/>
  <c r="X65" i="5"/>
  <c r="X55" i="5"/>
  <c r="X56" i="5"/>
  <c r="V35" i="6"/>
  <c r="X52" i="5"/>
  <c r="X53" i="5"/>
  <c r="X60" i="5"/>
  <c r="V30" i="6"/>
  <c r="S60" i="5"/>
  <c r="S53" i="5"/>
  <c r="S65" i="5"/>
  <c r="S55" i="5"/>
  <c r="S56" i="5"/>
  <c r="S57" i="5" s="1"/>
  <c r="S54" i="5"/>
  <c r="S52" i="5"/>
  <c r="B66" i="5"/>
  <c r="B67" i="5"/>
  <c r="B68" i="5" s="1"/>
  <c r="B58" i="5"/>
  <c r="W13" i="6"/>
  <c r="V38" i="6"/>
  <c r="AA60" i="5"/>
  <c r="AA53" i="5"/>
  <c r="AA55" i="5"/>
  <c r="AA54" i="5"/>
  <c r="AA52" i="5"/>
  <c r="AA65" i="5"/>
  <c r="AA56" i="5"/>
  <c r="J66" i="5"/>
  <c r="W21" i="6"/>
  <c r="J58" i="5"/>
  <c r="O60" i="5"/>
  <c r="O65" i="5"/>
  <c r="O53" i="5"/>
  <c r="O56" i="5"/>
  <c r="O54" i="5"/>
  <c r="O52" i="5"/>
  <c r="O55" i="5"/>
  <c r="V26" i="6"/>
  <c r="M65" i="5"/>
  <c r="M55" i="5"/>
  <c r="V24" i="6"/>
  <c r="M56" i="5"/>
  <c r="M54" i="5"/>
  <c r="M52" i="5"/>
  <c r="M53" i="5"/>
  <c r="M60" i="5"/>
  <c r="V39" i="6"/>
  <c r="AB54" i="5"/>
  <c r="AB55" i="5"/>
  <c r="AB53" i="5"/>
  <c r="AB52" i="5"/>
  <c r="AB60" i="5"/>
  <c r="AB57" i="5"/>
  <c r="AB65" i="5"/>
  <c r="AB56" i="5"/>
  <c r="V27" i="6"/>
  <c r="P60" i="5"/>
  <c r="P54" i="5"/>
  <c r="P55" i="5"/>
  <c r="P56" i="5"/>
  <c r="P53" i="5"/>
  <c r="P57" i="5" s="1"/>
  <c r="P52" i="5"/>
  <c r="P65" i="5"/>
  <c r="K60" i="5"/>
  <c r="V22" i="6"/>
  <c r="K53" i="5"/>
  <c r="K55" i="5"/>
  <c r="K54" i="5"/>
  <c r="K65" i="5"/>
  <c r="K52" i="5"/>
  <c r="K56" i="5"/>
  <c r="I62" i="5"/>
  <c r="I59" i="5"/>
  <c r="I61" i="5" s="1"/>
  <c r="Q67" i="4"/>
  <c r="Q68" i="4" s="1"/>
  <c r="Q66" i="4"/>
  <c r="D62" i="5"/>
  <c r="D59" i="5"/>
  <c r="D61" i="5" s="1"/>
  <c r="F59" i="5"/>
  <c r="F61" i="5" s="1"/>
  <c r="F62" i="5"/>
  <c r="P67" i="4"/>
  <c r="P68" i="4" s="1"/>
  <c r="P66" i="4"/>
  <c r="V14" i="6"/>
  <c r="C60" i="5"/>
  <c r="C53" i="5"/>
  <c r="C65" i="5"/>
  <c r="C52" i="5"/>
  <c r="C54" i="5"/>
  <c r="C55" i="5"/>
  <c r="C56" i="5"/>
  <c r="V50" i="5"/>
  <c r="G60" i="5"/>
  <c r="G53" i="5"/>
  <c r="G52" i="5"/>
  <c r="V18" i="6"/>
  <c r="G56" i="5"/>
  <c r="G55" i="5"/>
  <c r="G54" i="5"/>
  <c r="G65" i="5"/>
  <c r="Z50" i="5"/>
  <c r="I57" i="5"/>
  <c r="I63" i="5"/>
  <c r="I64" i="5" s="1"/>
  <c r="R62" i="4"/>
  <c r="R60" i="4"/>
  <c r="R58" i="4"/>
  <c r="R56" i="4"/>
  <c r="R54" i="4"/>
  <c r="R52" i="4"/>
  <c r="R65" i="4"/>
  <c r="R61" i="4"/>
  <c r="R57" i="4"/>
  <c r="R53" i="4"/>
  <c r="R63" i="4"/>
  <c r="R64" i="4" s="1"/>
  <c r="R51" i="4"/>
  <c r="R59" i="4"/>
  <c r="R55" i="4"/>
  <c r="B62" i="4"/>
  <c r="B60" i="4"/>
  <c r="B58" i="4"/>
  <c r="B56" i="4"/>
  <c r="B54" i="4"/>
  <c r="B65" i="4"/>
  <c r="B61" i="4"/>
  <c r="B57" i="4"/>
  <c r="B53" i="4"/>
  <c r="B52" i="4"/>
  <c r="B55" i="4"/>
  <c r="B51" i="4"/>
  <c r="B63" i="4"/>
  <c r="B59" i="4"/>
  <c r="H62" i="5"/>
  <c r="H59" i="5"/>
  <c r="H61" i="5" s="1"/>
  <c r="H63" i="5"/>
  <c r="J59" i="5"/>
  <c r="J61" i="5" s="1"/>
  <c r="J63" i="5" s="1"/>
  <c r="J64" i="5" s="1"/>
  <c r="J62" i="5"/>
  <c r="B59" i="5"/>
  <c r="B61" i="5" s="1"/>
  <c r="B62" i="5"/>
  <c r="K66" i="4"/>
  <c r="K67" i="4"/>
  <c r="K68" i="4" s="1"/>
  <c r="E67" i="4"/>
  <c r="E68" i="4" s="1"/>
  <c r="E66" i="4"/>
  <c r="F63" i="5"/>
  <c r="H67" i="4"/>
  <c r="H68" i="4" s="1"/>
  <c r="H66" i="4"/>
  <c r="G66" i="4"/>
  <c r="G67" i="4"/>
  <c r="G68" i="4" s="1"/>
  <c r="D67" i="4"/>
  <c r="D68" i="4" s="1"/>
  <c r="D66" i="4"/>
  <c r="Y65" i="5"/>
  <c r="V36" i="6"/>
  <c r="Y55" i="5"/>
  <c r="Y60" i="5"/>
  <c r="Y56" i="5"/>
  <c r="Y54" i="5"/>
  <c r="Y57" i="5" s="1"/>
  <c r="Y53" i="5"/>
  <c r="Y52" i="5"/>
  <c r="V29" i="6"/>
  <c r="R56" i="5"/>
  <c r="R52" i="5"/>
  <c r="R60" i="5"/>
  <c r="R55" i="5"/>
  <c r="R53" i="5"/>
  <c r="R57" i="5" s="1"/>
  <c r="R54" i="5"/>
  <c r="R65" i="5"/>
  <c r="J62" i="4"/>
  <c r="J60" i="4"/>
  <c r="J58" i="4"/>
  <c r="J56" i="4"/>
  <c r="J54" i="4"/>
  <c r="J52" i="4"/>
  <c r="J61" i="4"/>
  <c r="J57" i="4"/>
  <c r="J53" i="4"/>
  <c r="J65" i="4"/>
  <c r="J59" i="4"/>
  <c r="J55" i="4"/>
  <c r="J63" i="4"/>
  <c r="J64" i="4" s="1"/>
  <c r="J51" i="4"/>
  <c r="S66" i="4"/>
  <c r="S67" i="4"/>
  <c r="S68" i="4" s="1"/>
  <c r="C66" i="4"/>
  <c r="C67" i="4"/>
  <c r="C68" i="4" s="1"/>
  <c r="Q65" i="5"/>
  <c r="Q55" i="5"/>
  <c r="Q56" i="5"/>
  <c r="Q54" i="5"/>
  <c r="Q53" i="5"/>
  <c r="Q52" i="5"/>
  <c r="Q57" i="5" s="1"/>
  <c r="Q60" i="5"/>
  <c r="V28" i="6"/>
  <c r="D57" i="5"/>
  <c r="O66" i="4"/>
  <c r="O67" i="4"/>
  <c r="O68" i="4" s="1"/>
  <c r="L67" i="4"/>
  <c r="L68" i="4" s="1"/>
  <c r="L66" i="4"/>
  <c r="F62" i="4"/>
  <c r="F60" i="4"/>
  <c r="F58" i="4"/>
  <c r="F56" i="4"/>
  <c r="F54" i="4"/>
  <c r="F65" i="4"/>
  <c r="F63" i="4"/>
  <c r="F64" i="4" s="1"/>
  <c r="F59" i="4"/>
  <c r="F55" i="4"/>
  <c r="F52" i="4"/>
  <c r="F53" i="4"/>
  <c r="F61" i="4"/>
  <c r="F51" i="4"/>
  <c r="F57" i="4"/>
  <c r="B63" i="5"/>
  <c r="D63" i="5"/>
  <c r="N50" i="5"/>
  <c r="E62" i="5"/>
  <c r="E59" i="5"/>
  <c r="E61" i="5" s="1"/>
  <c r="E63" i="5" s="1"/>
  <c r="E64" i="5" s="1"/>
  <c r="N62" i="4"/>
  <c r="N60" i="4"/>
  <c r="N58" i="4"/>
  <c r="N56" i="4"/>
  <c r="N54" i="4"/>
  <c r="N52" i="4"/>
  <c r="N65" i="4"/>
  <c r="N63" i="4"/>
  <c r="N64" i="4" s="1"/>
  <c r="N59" i="4"/>
  <c r="N55" i="4"/>
  <c r="N57" i="4"/>
  <c r="N61" i="4"/>
  <c r="N51" i="4"/>
  <c r="N53" i="4"/>
  <c r="I67" i="4"/>
  <c r="I68" i="4" s="1"/>
  <c r="I66" i="4"/>
  <c r="H57" i="5"/>
  <c r="V7" i="5"/>
  <c r="A7" i="6" s="1"/>
  <c r="M67" i="4"/>
  <c r="M68" i="4" s="1"/>
  <c r="M66" i="4"/>
  <c r="F57" i="5"/>
  <c r="Q58" i="5" l="1"/>
  <c r="Q66" i="5"/>
  <c r="W28" i="6"/>
  <c r="W31" i="6"/>
  <c r="T66" i="5"/>
  <c r="T58" i="5"/>
  <c r="W34" i="6"/>
  <c r="W58" i="5"/>
  <c r="W66" i="5"/>
  <c r="R66" i="5"/>
  <c r="W29" i="6"/>
  <c r="R58" i="5"/>
  <c r="Y58" i="5"/>
  <c r="Y66" i="5"/>
  <c r="W36" i="6"/>
  <c r="W27" i="6"/>
  <c r="P58" i="5"/>
  <c r="P66" i="5"/>
  <c r="S66" i="5"/>
  <c r="S58" i="5"/>
  <c r="W30" i="6"/>
  <c r="E67" i="5"/>
  <c r="J67" i="5"/>
  <c r="L58" i="5"/>
  <c r="W23" i="6"/>
  <c r="L66" i="5"/>
  <c r="F66" i="4"/>
  <c r="F67" i="4"/>
  <c r="F68" i="4" s="1"/>
  <c r="W39" i="6"/>
  <c r="AB66" i="5"/>
  <c r="AB58" i="5"/>
  <c r="U58" i="5"/>
  <c r="W32" i="6"/>
  <c r="U66" i="5"/>
  <c r="N66" i="4"/>
  <c r="N67" i="4"/>
  <c r="N68" i="4" s="1"/>
  <c r="J66" i="4"/>
  <c r="J67" i="4"/>
  <c r="J68" i="4" s="1"/>
  <c r="F64" i="5"/>
  <c r="V56" i="5"/>
  <c r="V52" i="5"/>
  <c r="V33" i="6"/>
  <c r="V54" i="5"/>
  <c r="V57" i="5" s="1"/>
  <c r="V53" i="5"/>
  <c r="V65" i="5"/>
  <c r="V55" i="5"/>
  <c r="V60" i="5"/>
  <c r="V25" i="6"/>
  <c r="N56" i="5"/>
  <c r="N52" i="5"/>
  <c r="N65" i="5"/>
  <c r="N60" i="5"/>
  <c r="N55" i="5"/>
  <c r="N53" i="5"/>
  <c r="N57" i="5" s="1"/>
  <c r="Y7" i="5"/>
  <c r="N54" i="5"/>
  <c r="Y62" i="5"/>
  <c r="Y59" i="5"/>
  <c r="Y61" i="5" s="1"/>
  <c r="I67" i="5"/>
  <c r="I66" i="5"/>
  <c r="I58" i="5"/>
  <c r="W20" i="6"/>
  <c r="K59" i="5"/>
  <c r="K61" i="5" s="1"/>
  <c r="K63" i="5" s="1"/>
  <c r="K64" i="5" s="1"/>
  <c r="K62" i="5"/>
  <c r="M62" i="5"/>
  <c r="M59" i="5"/>
  <c r="M61" i="5" s="1"/>
  <c r="U62" i="5"/>
  <c r="U59" i="5"/>
  <c r="U61" i="5" s="1"/>
  <c r="G62" i="5"/>
  <c r="G59" i="5"/>
  <c r="G61" i="5" s="1"/>
  <c r="C62" i="5"/>
  <c r="C59" i="5"/>
  <c r="C61" i="5" s="1"/>
  <c r="C63" i="5" s="1"/>
  <c r="F66" i="5"/>
  <c r="W17" i="6"/>
  <c r="F67" i="5"/>
  <c r="F58" i="5"/>
  <c r="W19" i="6"/>
  <c r="H58" i="5"/>
  <c r="H66" i="5"/>
  <c r="R59" i="5"/>
  <c r="R61" i="5" s="1"/>
  <c r="R62" i="5"/>
  <c r="Y63" i="5"/>
  <c r="B66" i="4"/>
  <c r="B67" i="4"/>
  <c r="B68" i="4" s="1"/>
  <c r="Z65" i="5"/>
  <c r="Z60" i="5"/>
  <c r="Z56" i="5"/>
  <c r="Z52" i="5"/>
  <c r="Z57" i="5" s="1"/>
  <c r="V37" i="6"/>
  <c r="Z55" i="5"/>
  <c r="Z54" i="5"/>
  <c r="Z53" i="5"/>
  <c r="G57" i="5"/>
  <c r="K57" i="5"/>
  <c r="AB62" i="5"/>
  <c r="AB59" i="5"/>
  <c r="AB61" i="5" s="1"/>
  <c r="AB63" i="5" s="1"/>
  <c r="AB64" i="5" s="1"/>
  <c r="O62" i="5"/>
  <c r="O59" i="5"/>
  <c r="O61" i="5" s="1"/>
  <c r="O63" i="5" s="1"/>
  <c r="O57" i="5"/>
  <c r="S62" i="5"/>
  <c r="S59" i="5"/>
  <c r="S61" i="5" s="1"/>
  <c r="S63" i="5" s="1"/>
  <c r="S64" i="5" s="1"/>
  <c r="X62" i="5"/>
  <c r="X59" i="5"/>
  <c r="X61" i="5" s="1"/>
  <c r="X63" i="5" s="1"/>
  <c r="X64" i="5" s="1"/>
  <c r="W59" i="5"/>
  <c r="W61" i="5" s="1"/>
  <c r="W62" i="5"/>
  <c r="W63" i="5"/>
  <c r="R63" i="5"/>
  <c r="W15" i="6"/>
  <c r="D66" i="5"/>
  <c r="D58" i="5"/>
  <c r="Q62" i="5"/>
  <c r="Q59" i="5"/>
  <c r="Q61" i="5" s="1"/>
  <c r="Q63" i="5" s="1"/>
  <c r="Q64" i="5" s="1"/>
  <c r="Q67" i="5" s="1"/>
  <c r="R66" i="4"/>
  <c r="R67" i="4"/>
  <c r="R68" i="4" s="1"/>
  <c r="G63" i="5"/>
  <c r="G64" i="5" s="1"/>
  <c r="C57" i="5"/>
  <c r="P59" i="5"/>
  <c r="P61" i="5" s="1"/>
  <c r="P63" i="5" s="1"/>
  <c r="P62" i="5"/>
  <c r="M63" i="5"/>
  <c r="M57" i="5"/>
  <c r="AA59" i="5"/>
  <c r="AA61" i="5" s="1"/>
  <c r="AA63" i="5" s="1"/>
  <c r="AA62" i="5"/>
  <c r="AA57" i="5"/>
  <c r="X57" i="5"/>
  <c r="L59" i="5"/>
  <c r="L61" i="5" s="1"/>
  <c r="L63" i="5" s="1"/>
  <c r="L64" i="5" s="1"/>
  <c r="L62" i="5"/>
  <c r="U63" i="5"/>
  <c r="T62" i="5"/>
  <c r="T59" i="5"/>
  <c r="T61" i="5" s="1"/>
  <c r="T63" i="5"/>
  <c r="C64" i="5" l="1"/>
  <c r="D64" i="5"/>
  <c r="D67" i="5" s="1"/>
  <c r="Z66" i="5"/>
  <c r="W37" i="6"/>
  <c r="Z58" i="5"/>
  <c r="V66" i="5"/>
  <c r="V58" i="5"/>
  <c r="W33" i="6"/>
  <c r="S67" i="5"/>
  <c r="N66" i="5"/>
  <c r="W25" i="6"/>
  <c r="AB7" i="5"/>
  <c r="N58" i="5"/>
  <c r="AB67" i="5"/>
  <c r="L67" i="5"/>
  <c r="P64" i="5"/>
  <c r="P67" i="5" s="1"/>
  <c r="T64" i="5"/>
  <c r="T67" i="5" s="1"/>
  <c r="W24" i="6"/>
  <c r="M66" i="5"/>
  <c r="M67" i="5" s="1"/>
  <c r="M58" i="5"/>
  <c r="W18" i="6"/>
  <c r="G58" i="5"/>
  <c r="G66" i="5"/>
  <c r="G67" i="5" s="1"/>
  <c r="Y64" i="5"/>
  <c r="Y67" i="5" s="1"/>
  <c r="W35" i="6"/>
  <c r="X66" i="5"/>
  <c r="X67" i="5" s="1"/>
  <c r="X58" i="5"/>
  <c r="C67" i="5"/>
  <c r="C68" i="5" s="1"/>
  <c r="C66" i="5"/>
  <c r="C58" i="5"/>
  <c r="W14" i="6"/>
  <c r="U64" i="5"/>
  <c r="U67" i="5" s="1"/>
  <c r="AA58" i="5"/>
  <c r="W38" i="6"/>
  <c r="AA66" i="5"/>
  <c r="M64" i="5"/>
  <c r="N59" i="5"/>
  <c r="N61" i="5" s="1"/>
  <c r="N63" i="5" s="1"/>
  <c r="N62" i="5"/>
  <c r="R64" i="5"/>
  <c r="R67" i="5" s="1"/>
  <c r="O66" i="5"/>
  <c r="W26" i="6"/>
  <c r="O58" i="5"/>
  <c r="Z59" i="5"/>
  <c r="Z61" i="5" s="1"/>
  <c r="Z63" i="5" s="1"/>
  <c r="Z62" i="5"/>
  <c r="K67" i="5"/>
  <c r="K58" i="5"/>
  <c r="K66" i="5"/>
  <c r="W22" i="6"/>
  <c r="H64" i="5"/>
  <c r="H67" i="5" s="1"/>
  <c r="V59" i="5"/>
  <c r="V61" i="5" s="1"/>
  <c r="V63" i="5" s="1"/>
  <c r="V62" i="5"/>
  <c r="Z64" i="5" l="1"/>
  <c r="Z67" i="5" s="1"/>
  <c r="AA64" i="5"/>
  <c r="O67" i="5"/>
  <c r="AA67" i="5"/>
  <c r="V64" i="5"/>
  <c r="V67" i="5" s="1"/>
  <c r="W64" i="5"/>
  <c r="W67" i="5" s="1"/>
  <c r="N64" i="5"/>
  <c r="N67" i="5" s="1"/>
  <c r="O64" i="5"/>
  <c r="D68" i="5"/>
  <c r="E68" i="5" s="1"/>
  <c r="F68" i="5" s="1"/>
  <c r="G68" i="5" s="1"/>
  <c r="H68" i="5" s="1"/>
  <c r="I68" i="5" s="1"/>
  <c r="J68" i="5" s="1"/>
  <c r="K68" i="5" s="1"/>
  <c r="L68" i="5" s="1"/>
  <c r="M68" i="5" s="1"/>
  <c r="N68" i="5" l="1"/>
  <c r="O68" i="5" s="1"/>
  <c r="P68" i="5" s="1"/>
  <c r="Q68" i="5" s="1"/>
  <c r="R68" i="5" s="1"/>
  <c r="S68" i="5" s="1"/>
  <c r="T68" i="5" s="1"/>
  <c r="U68" i="5" s="1"/>
  <c r="V68" i="5" s="1"/>
  <c r="W68" i="5" s="1"/>
  <c r="X68" i="5" s="1"/>
  <c r="Y68" i="5" s="1"/>
  <c r="Z68" i="5" s="1"/>
  <c r="AA68" i="5" s="1"/>
  <c r="AB68" i="5" s="1"/>
</calcChain>
</file>

<file path=xl/sharedStrings.xml><?xml version="1.0" encoding="utf-8"?>
<sst xmlns="http://schemas.openxmlformats.org/spreadsheetml/2006/main" count="1143" uniqueCount="611">
  <si>
    <t>ENTERPRISE TOOLKITS  |  https://enterprsie-toolkits.org</t>
  </si>
  <si>
    <t>ETK-FIN-RFDP-2020-01  |  Version 1.0  |  19 October 2020</t>
  </si>
  <si>
    <t>ROLLING FORECAST &amp; DRIVER-BASED PLANNING TOOLKIT</t>
  </si>
  <si>
    <t>Planning control-tower edition | From operational drivers to earnings, cash and executive decisions</t>
  </si>
  <si>
    <t>18-MONTH
ROLLING
FORECAST
CONTROL
TOWER</t>
  </si>
  <si>
    <t>A Board and Executive Committee toolkit for translating commercial and operational assumptions into a continuously refreshed 18-month view of revenue, EBITDA, working capital, free cash flow and liquidity.</t>
  </si>
  <si>
    <t>The model is built from controllable and external business drivers rather than blanket percentage growth assumptions. It separates actuals, latest forecast and scenarios, exposes variance drivers and links forecast changes to management actions and decision thresholds.</t>
  </si>
  <si>
    <t>PLANNING CYCLE</t>
  </si>
  <si>
    <t>1. REFRESH ACTUALS
Close the latest month, validate data and preserve a clean actual / forecast boundary.</t>
  </si>
  <si>
    <t>2. UPDATE DRIVERS
Refresh volume, price, mix, productivity, headcount, working-capital and capex assumptions.</t>
  </si>
  <si>
    <t>3. REFORECAST
Extend the horizon by one month and recalculate earnings, cash and liquidity.</t>
  </si>
  <si>
    <t>4. DECIDE
Explain variances, test scenarios and assign management actions against thresholds.</t>
  </si>
  <si>
    <t>DRIVER TREE</t>
  </si>
  <si>
    <t>COMMERCIAL DRIVERS
Units, price, mix, new sites, subscribers, service rate and installed-base penetration.</t>
  </si>
  <si>
    <t>OPERATING DRIVERS
Material index, productivity, labor intensity, freight, warranty and capacity.</t>
  </si>
  <si>
    <t>RESOURCE DRIVERS
Headcount, cost per FTE, R&amp;D intensity, commercial spend and capex.</t>
  </si>
  <si>
    <t>CASH DRIVERS
DSO, inventory days, DPO, cash taxes, capital phasing and liquidity thresholds.</t>
  </si>
  <si>
    <t>WORKBOOK MAP</t>
  </si>
  <si>
    <t>Sheet</t>
  </si>
  <si>
    <t>Purpose</t>
  </si>
  <si>
    <t>Primary User</t>
  </si>
  <si>
    <t>Core Output</t>
  </si>
  <si>
    <t>01_Business_Case</t>
  </si>
  <si>
    <t>Fictional global climate-technology business and planning challenge.</t>
  </si>
  <si>
    <t>Board / ExCo</t>
  </si>
  <si>
    <t>Planning context and data baseline.</t>
  </si>
  <si>
    <t>02_Driver_Dictionary</t>
  </si>
  <si>
    <t>Reusable driver definitions, formulas, ownership and data-source controls.</t>
  </si>
  <si>
    <t>Finance / Functions</t>
  </si>
  <si>
    <t>Approved driver architecture.</t>
  </si>
  <si>
    <t>03_Rolling_Forecast_Template</t>
  </si>
  <si>
    <t>Blank 18-month forecast model with scenario assumptions and management actions.</t>
  </si>
  <si>
    <t>FP&amp;A / Business leaders</t>
  </si>
  <si>
    <t>Reusable forecast engine.</t>
  </si>
  <si>
    <t>04_Worked_Example</t>
  </si>
  <si>
    <t>Completed actuals, latest forecast, scenarios, cash flow and variance analysis.</t>
  </si>
  <si>
    <t>ExCo</t>
  </si>
  <si>
    <t>Evidence-based worked example.</t>
  </si>
  <si>
    <t>05_Executive_Control_Tower</t>
  </si>
  <si>
    <t>Board-level outlook, scenario range, risks, liquidity and actions.</t>
  </si>
  <si>
    <t>Decision-ready planning cockpit.</t>
  </si>
  <si>
    <t>All company and planning data in this workbook are fictional and internally consistent for executive training. The model date is 19 October 2020. Replace assumptions with verified enterprise data before using the model for external guidance, financing, remuneration or capital commitments.</t>
  </si>
  <si>
    <t>Enterprise Toolkits  |  support@enterprsie-toolkits.org  |  © 2020  |  Confidential and Proprietary  |  Page 1 of 6</t>
  </si>
  <si>
    <t>BUSINESS CASE  |  VERTEX CLIMATE &amp; BUILDING SYSTEMS GROUP</t>
  </si>
  <si>
    <t>Global HVAC, heat-pump, controls and lifecycle-services enterprise | October 2020 planning reset</t>
  </si>
  <si>
    <t>THE PLANNING CHALLENGE
Vertex Climate &amp; Building Systems Group (VCBSG) designs and manufactures commercial HVAC systems, residential heat pumps, building-control platforms and lifecycle services. The group operates in 38 countries through 28 manufacturing sites, a global service network and a growing installed base of connected buildings.
FY2020 demand is volatile. Commercial construction slowed sharply in the second quarter, residential heat-pump demand recovered faster than expected, and service renewals remained resilient. Commodity and logistics costs are increasing, while working-capital performance varies materially by region.
The annual budget is no longer a sufficient management instrument. The Board requires an 18-month rolling forecast based on operational drivers, refreshed monthly and supported by upside and downside scenarios.</t>
  </si>
  <si>
    <t>FY2019 Revenue</t>
  </si>
  <si>
    <t>FY2020 Budget</t>
  </si>
  <si>
    <t>FY2020 Latest Forecast</t>
  </si>
  <si>
    <t>Employees</t>
  </si>
  <si>
    <t>Manufacturing Sites</t>
  </si>
  <si>
    <t>Connected Buildings</t>
  </si>
  <si>
    <t>FY2020 EBITDA Margin</t>
  </si>
  <si>
    <t>FY2020 FCF</t>
  </si>
  <si>
    <t>Planning horizon: October 2020–March 2022 | Actuals closed through September 2020 | FY2021 base case: Revenue USD 8.82bn, EBITDA USD 1.35bn, FCF USD 0.66bn | Board review date: 19 October 2020</t>
  </si>
  <si>
    <t>BUSINESS MODEL AND DRIVER EXPOSURE</t>
  </si>
  <si>
    <t>Business Segment</t>
  </si>
  <si>
    <t>FY2020 Revenue</t>
  </si>
  <si>
    <t>Revenue Mix</t>
  </si>
  <si>
    <t>Primary Revenue Drivers</t>
  </si>
  <si>
    <t>Primary Cost Drivers</t>
  </si>
  <si>
    <t>Planning Volatility</t>
  </si>
  <si>
    <t>Executive Owner</t>
  </si>
  <si>
    <t>Management Note</t>
  </si>
  <si>
    <t>Planning Driver</t>
  </si>
  <si>
    <t>FY2019</t>
  </si>
  <si>
    <t>FY2021 Base</t>
  </si>
  <si>
    <t>Upside</t>
  </si>
  <si>
    <t>Downside</t>
  </si>
  <si>
    <t>Unit</t>
  </si>
  <si>
    <t>Management Interpretation</t>
  </si>
  <si>
    <t>Commercial HVAC Systems</t>
  </si>
  <si>
    <t>Units, average selling price, project mix.</t>
  </si>
  <si>
    <t>Copper, steel, labor productivity, freight.</t>
  </si>
  <si>
    <t>High</t>
  </si>
  <si>
    <t>President, Commercial Systems</t>
  </si>
  <si>
    <t>Long-cycle projects; demand and mix can change quickly.</t>
  </si>
  <si>
    <t>Commercial-system volume growth</t>
  </si>
  <si>
    <t>%</t>
  </si>
  <si>
    <t>Recovery timing is the largest revenue uncertainty.</t>
  </si>
  <si>
    <t>Residential Heat Pumps</t>
  </si>
  <si>
    <t>Units, price, channel inventory, seasonal demand.</t>
  </si>
  <si>
    <t>Compressors, electronics, labor, warranty.</t>
  </si>
  <si>
    <t>President, Residential Solutions</t>
  </si>
  <si>
    <t>Seasonal volume and policy incentives drive volatility.</t>
  </si>
  <si>
    <t>Residential heat-pump volume growth</t>
  </si>
  <si>
    <t>Policy and channel demand support growth.</t>
  </si>
  <si>
    <t>Building Controls &amp; Software</t>
  </si>
  <si>
    <t>New sites, project value, subscribers, monthly fee.</t>
  </si>
  <si>
    <t>Engineering capacity, software R&amp;D, implementation labor.</t>
  </si>
  <si>
    <t>Medium</t>
  </si>
  <si>
    <t>Chief Digital Officer</t>
  </si>
  <si>
    <t>Recurring revenue improves visibility but project timing remains uneven.</t>
  </si>
  <si>
    <t>Controls recurring-revenue growth</t>
  </si>
  <si>
    <t>Subscriber growth is a key resilience driver.</t>
  </si>
  <si>
    <t>Lifecycle Services</t>
  </si>
  <si>
    <t>Technicians, billable hours, utilization, rate, parts.</t>
  </si>
  <si>
    <t>Technician cost, travel, parts and service coverage.</t>
  </si>
  <si>
    <t>Low</t>
  </si>
  <si>
    <t>President, Lifecycle Services</t>
  </si>
  <si>
    <t>Installed-base demand provides resilience and cash generation.</t>
  </si>
  <si>
    <t>Service utilization</t>
  </si>
  <si>
    <t>Utilization translates installed base into revenue and margin.</t>
  </si>
  <si>
    <t>Total</t>
  </si>
  <si>
    <t>Commodity cost index</t>
  </si>
  <si>
    <t>Index</t>
  </si>
  <si>
    <t>Material inflation is a primary margin risk.</t>
  </si>
  <si>
    <t>Productivity index</t>
  </si>
  <si>
    <t>Productivity must offset commodity inflation.</t>
  </si>
  <si>
    <t>DSO</t>
  </si>
  <si>
    <t>Days</t>
  </si>
  <si>
    <t>Collections performance materially affects free cash flow.</t>
  </si>
  <si>
    <t>Inventory days</t>
  </si>
  <si>
    <t>Demand volatility creates excess and shortage risk.</t>
  </si>
  <si>
    <t>Growth capex / revenue</t>
  </si>
  <si>
    <t>Capex should flex with demand and strategic capacity triggers.</t>
  </si>
  <si>
    <t>BOARD DECISION QUESTION</t>
  </si>
  <si>
    <t>How should VCBSG update its FY2020 outlook and FY2021 operating plan when the most important commercial, cost and cash drivers move?
The Board expects an 18-month forecast with a transparent actual / forecast boundary, scenario ranges, forecast-versus-budget bridge, liquidity view and action thresholds for revenue, EBITDA margin, working capital and capex.</t>
  </si>
  <si>
    <t>PLANNING GOVERNANCE</t>
  </si>
  <si>
    <t>MONTHLY CLOSE
Freeze actuals, reconcile source systems and document one-off items.</t>
  </si>
  <si>
    <t>DRIVER REVIEW
Business leaders own driver assumptions and evidence.</t>
  </si>
  <si>
    <t>FORECAST CHALLENGE
FP&amp;A tests cross-driver consistency and scenario ranges.</t>
  </si>
  <si>
    <t>EXECUTIVE DECISION
ExCo approves outlook, actions and capital release.</t>
  </si>
  <si>
    <t>Enterprise Toolkits  |  support@enterprsie-toolkits.org  |  © 2020  |  Confidential and Proprietary  |  Page 2 of 6</t>
  </si>
  <si>
    <t>DRIVER DICTIONARY &amp; ASSUMPTION GOVERNANCE</t>
  </si>
  <si>
    <t>Define the operational mechanism, data source, owner, refresh cadence and decision threshold</t>
  </si>
  <si>
    <t>A driver should have a direct and explainable relationship to a financial outcome. Avoid duplicative measures and purely descriptive KPIs. Each driver requires one definition, one source, one assumption owner and a documented refresh cadence.</t>
  </si>
  <si>
    <t>DRIVER DICTIONARY</t>
  </si>
  <si>
    <t>Driver ID</t>
  </si>
  <si>
    <t>Driver Category</t>
  </si>
  <si>
    <t>Driver Name</t>
  </si>
  <si>
    <t>Business Definition</t>
  </si>
  <si>
    <t>Financial Formula / Link</t>
  </si>
  <si>
    <t>Direction</t>
  </si>
  <si>
    <t>Refresh Frequency</t>
  </si>
  <si>
    <t>Planning Horizon</t>
  </si>
  <si>
    <t>Historical Source</t>
  </si>
  <si>
    <t>Forecast Method</t>
  </si>
  <si>
    <t>Assumption Owner</t>
  </si>
  <si>
    <t>Data Owner</t>
  </si>
  <si>
    <t>Base Case</t>
  </si>
  <si>
    <t>Upside Logic</t>
  </si>
  <si>
    <t>Downside Logic</t>
  </si>
  <si>
    <t>Trigger / Threshold</t>
  </si>
  <si>
    <t>Materiality</t>
  </si>
  <si>
    <t>Confidence</t>
  </si>
  <si>
    <t>Approval Status</t>
  </si>
  <si>
    <t>COM-01</t>
  </si>
  <si>
    <t>Commercial</t>
  </si>
  <si>
    <t>Commercial HVAC units</t>
  </si>
  <si>
    <t>Monthly shipped equivalent units.</t>
  </si>
  <si>
    <t>Units × average selling price = segment revenue.</t>
  </si>
  <si>
    <t>Units</t>
  </si>
  <si>
    <t>Higher</t>
  </si>
  <si>
    <t>Monthly</t>
  </si>
  <si>
    <t>18 months</t>
  </si>
  <si>
    <t>ERP shipments</t>
  </si>
  <si>
    <t>Order intake, backlog conversion and seasonality.</t>
  </si>
  <si>
    <t>Commercial Finance</t>
  </si>
  <si>
    <t>Accelerated backlog conversion and market recovery.</t>
  </si>
  <si>
    <t>Project delays and lower construction demand.</t>
  </si>
  <si>
    <t>Monthly units deviate &gt;8% from prior forecast.</t>
  </si>
  <si>
    <t>4 - Strong</t>
  </si>
  <si>
    <t>Approved</t>
  </si>
  <si>
    <t>COM-02</t>
  </si>
  <si>
    <t>Commercial HVAC average selling price</t>
  </si>
  <si>
    <t>Net realized revenue per shipped unit.</t>
  </si>
  <si>
    <t>Commercial revenue ÷ commercial units.</t>
  </si>
  <si>
    <t>USD / unit</t>
  </si>
  <si>
    <t>ERP revenue and pricing</t>
  </si>
  <si>
    <t>Contract price, mix and surcharge assumptions.</t>
  </si>
  <si>
    <t>Chief Commercial Officer</t>
  </si>
  <si>
    <t>Pricing Office</t>
  </si>
  <si>
    <t>Favorable project mix and price realization.</t>
  </si>
  <si>
    <t>Price pressure and adverse mix.</t>
  </si>
  <si>
    <t>Realized price changes &gt;2%.</t>
  </si>
  <si>
    <t>RES-01</t>
  </si>
  <si>
    <t>Residential heat-pump units</t>
  </si>
  <si>
    <t>Monthly units sold to channels and direct customers.</t>
  </si>
  <si>
    <t>Seasonality, incentives, channel inventory and order book.</t>
  </si>
  <si>
    <t>Regional Finance</t>
  </si>
  <si>
    <t>Policy support and channel restocking.</t>
  </si>
  <si>
    <t>Weak demand and channel destocking.</t>
  </si>
  <si>
    <t>Channel inventory exceeds 10 weeks.</t>
  </si>
  <si>
    <t>RES-02</t>
  </si>
  <si>
    <t>Residential average selling price</t>
  </si>
  <si>
    <t>Net realized price per heat-pump unit.</t>
  </si>
  <si>
    <t>Residential revenue ÷ residential units.</t>
  </si>
  <si>
    <t>ERP revenue</t>
  </si>
  <si>
    <t>Pricing actions and product mix.</t>
  </si>
  <si>
    <t>Premium mix and surcharge retention.</t>
  </si>
  <si>
    <t>Competitive discounting.</t>
  </si>
  <si>
    <t>Price realization &lt;98% of plan.</t>
  </si>
  <si>
    <t>DIG-01</t>
  </si>
  <si>
    <t>New control-system sites</t>
  </si>
  <si>
    <t>New building-control projects commissioned.</t>
  </si>
  <si>
    <t>New sites × project revenue per site.</t>
  </si>
  <si>
    <t>Sites</t>
  </si>
  <si>
    <t>CRM and project system</t>
  </si>
  <si>
    <t>Pipeline conversion and implementation capacity.</t>
  </si>
  <si>
    <t>Digital Finance</t>
  </si>
  <si>
    <t>Faster project conversion.</t>
  </si>
  <si>
    <t>Implementation delays.</t>
  </si>
  <si>
    <t>Commissioned sites deviate &gt;10%.</t>
  </si>
  <si>
    <t>3 - Good</t>
  </si>
  <si>
    <t>DIG-02</t>
  </si>
  <si>
    <t>Connected subscribers</t>
  </si>
  <si>
    <t>Active paying connected-building subscriptions.</t>
  </si>
  <si>
    <t>Subscribers × monthly fee.</t>
  </si>
  <si>
    <t>Subscribers</t>
  </si>
  <si>
    <t>24 months</t>
  </si>
  <si>
    <t>Subscription platform</t>
  </si>
  <si>
    <t>Installed base, churn and new activations.</t>
  </si>
  <si>
    <t>Subscription Operations</t>
  </si>
  <si>
    <t>Higher activation and lower churn.</t>
  </si>
  <si>
    <t>Slower activation and higher churn.</t>
  </si>
  <si>
    <t>Monthly churn exceeds 1.2%.</t>
  </si>
  <si>
    <t>SRV-01</t>
  </si>
  <si>
    <t>Billable productive hours as a share of available technician hours.</t>
  </si>
  <si>
    <t>Technicians × hours × utilization × rate.</t>
  </si>
  <si>
    <t>Field-service system</t>
  </si>
  <si>
    <t>Work orders, staffing, leave and travel constraints.</t>
  </si>
  <si>
    <t>Service Operations</t>
  </si>
  <si>
    <t>Higher scheduling productivity.</t>
  </si>
  <si>
    <t>Workforce availability and travel disruption.</t>
  </si>
  <si>
    <t>Utilization &lt;75%.</t>
  </si>
  <si>
    <t>SRV-02</t>
  </si>
  <si>
    <t>Service hourly rate</t>
  </si>
  <si>
    <t>Net realized billing rate.</t>
  </si>
  <si>
    <t>Service labor revenue ÷ billable hours.</t>
  </si>
  <si>
    <t>USD / hour</t>
  </si>
  <si>
    <t>Field-service billing</t>
  </si>
  <si>
    <t>Contract escalators, mix and pricing.</t>
  </si>
  <si>
    <t>Service Finance</t>
  </si>
  <si>
    <t>Contract and premium-service mix.</t>
  </si>
  <si>
    <t>Rate pressure and lower mix.</t>
  </si>
  <si>
    <t>Rate realization &lt;99%.</t>
  </si>
  <si>
    <t>OPS-01</t>
  </si>
  <si>
    <t>Operations</t>
  </si>
  <si>
    <t>Weighted copper, steel, electronics and compressor input-cost index.</t>
  </si>
  <si>
    <t>Base material intensity × commodity index ÷ productivity index.</t>
  </si>
  <si>
    <t>Lower</t>
  </si>
  <si>
    <t>Procurement indices</t>
  </si>
  <si>
    <t>Contract coverage, spot prices and supplier forecasts.</t>
  </si>
  <si>
    <t>Chief Procurement Officer</t>
  </si>
  <si>
    <t>Procurement Analytics</t>
  </si>
  <si>
    <t>Faster normalization and hedging benefits.</t>
  </si>
  <si>
    <t>Persistent inflation and shortages.</t>
  </si>
  <si>
    <t>Index &gt;115.</t>
  </si>
  <si>
    <t>OPS-02</t>
  </si>
  <si>
    <t>Output per labor and machine-hour relative to baseline.</t>
  </si>
  <si>
    <t>Reduces material loss and direct-labor intensity.</t>
  </si>
  <si>
    <t>MES and labor systems</t>
  </si>
  <si>
    <t>Plant initiatives and ramp curves.</t>
  </si>
  <si>
    <t>Chief Operating Officer</t>
  </si>
  <si>
    <t>Manufacturing Excellence</t>
  </si>
  <si>
    <t>Faster benefit realization.</t>
  </si>
  <si>
    <t>Delayed implementation and ramp losses.</t>
  </si>
  <si>
    <t>Index &lt;103 by Q2 2021.</t>
  </si>
  <si>
    <t>OPS-03</t>
  </si>
  <si>
    <t>Freight and warranty ratio</t>
  </si>
  <si>
    <t>Freight, expedite and warranty cost as a share of revenue.</t>
  </si>
  <si>
    <t>Revenue × freight and warranty ratio.</t>
  </si>
  <si>
    <t>ERP cost centers</t>
  </si>
  <si>
    <t>Logistics rates, service levels and quality outlook.</t>
  </si>
  <si>
    <t>Supply Chain Finance</t>
  </si>
  <si>
    <t>Normalized logistics and quality improvement.</t>
  </si>
  <si>
    <t>Expedites, shortages and quality events.</t>
  </si>
  <si>
    <t>Ratio &gt;5.5%.</t>
  </si>
  <si>
    <t>RES-03</t>
  </si>
  <si>
    <t>Resources</t>
  </si>
  <si>
    <t>Overhead headcount</t>
  </si>
  <si>
    <t>SG&amp;A and shared-service full-time equivalents.</t>
  </si>
  <si>
    <t>Headcount × annual cost per FTE ÷ 12.</t>
  </si>
  <si>
    <t>FTE</t>
  </si>
  <si>
    <t>HRIS</t>
  </si>
  <si>
    <t>Approved workforce plan and hiring cadence.</t>
  </si>
  <si>
    <t>Chief Human Resources Officer</t>
  </si>
  <si>
    <t>HR Analytics</t>
  </si>
  <si>
    <t>Targeted hiring only.</t>
  </si>
  <si>
    <t>Delayed restructuring and excess capacity.</t>
  </si>
  <si>
    <t>Headcount &gt;2% above plan.</t>
  </si>
  <si>
    <t>5 - Controlled</t>
  </si>
  <si>
    <t>RES-04</t>
  </si>
  <si>
    <t>Annual cost per FTE</t>
  </si>
  <si>
    <t>Salary, benefits and employment cost per overhead FTE.</t>
  </si>
  <si>
    <t>Overhead headcount × cost per FTE ÷ 12.</t>
  </si>
  <si>
    <t>USD / FTE</t>
  </si>
  <si>
    <t>Quarterly</t>
  </si>
  <si>
    <t>Payroll and HRIS</t>
  </si>
  <si>
    <t>Merit, inflation, location and hiring mix.</t>
  </si>
  <si>
    <t>Compensation Finance</t>
  </si>
  <si>
    <t>Favorable hiring mix.</t>
  </si>
  <si>
    <t>Wage inflation and contractor premium.</t>
  </si>
  <si>
    <t>Cost/FTE &gt;3% above plan.</t>
  </si>
  <si>
    <t>RES-05</t>
  </si>
  <si>
    <t>Commercial spend ratio</t>
  </si>
  <si>
    <t>Variable selling, channel and marketing spend as a share of revenue.</t>
  </si>
  <si>
    <t>Revenue × commercial spend ratio.</t>
  </si>
  <si>
    <t>ERP and marketing systems</t>
  </si>
  <si>
    <t>Campaign plan and commission structure.</t>
  </si>
  <si>
    <t>Improved digital acquisition efficiency.</t>
  </si>
  <si>
    <t>Higher commissions and launch spend.</t>
  </si>
  <si>
    <t>Ratio &gt;5.0%.</t>
  </si>
  <si>
    <t>RES-06</t>
  </si>
  <si>
    <t>R&amp;D intensity</t>
  </si>
  <si>
    <t>Research and development expense as a share of revenue.</t>
  </si>
  <si>
    <t>Revenue × R&amp;D ratio.</t>
  </si>
  <si>
    <t>Strategic</t>
  </si>
  <si>
    <t>Project accounting</t>
  </si>
  <si>
    <t>Approved technology roadmap and milestone phasing.</t>
  </si>
  <si>
    <t>Chief Technology Officer</t>
  </si>
  <si>
    <t>R&amp;D Finance</t>
  </si>
  <si>
    <t>Accelerate priority platforms.</t>
  </si>
  <si>
    <t>Protect critical programs; defer lower-priority work.</t>
  </si>
  <si>
    <t>Material milestone delay.</t>
  </si>
  <si>
    <t>CASH-01</t>
  </si>
  <si>
    <t>Cash</t>
  </si>
  <si>
    <t>Days sales outstanding</t>
  </si>
  <si>
    <t>Accounts receivable days based on monthly revenue.</t>
  </si>
  <si>
    <t>Revenue × DSO ÷ 30 = accounts receivable.</t>
  </si>
  <si>
    <t>ERP receivables</t>
  </si>
  <si>
    <t>Collections actions and customer mix.</t>
  </si>
  <si>
    <t>Chief Financial Officer</t>
  </si>
  <si>
    <t>Treasury / Credit</t>
  </si>
  <si>
    <t>Faster collections.</t>
  </si>
  <si>
    <t>Project disputes and customer stress.</t>
  </si>
  <si>
    <t>DSO &gt;58 days.</t>
  </si>
  <si>
    <t>CASH-02</t>
  </si>
  <si>
    <t>Inventory days based on monthly cost of goods sold.</t>
  </si>
  <si>
    <t>COGS × inventory days ÷ 30.</t>
  </si>
  <si>
    <t>ERP inventory</t>
  </si>
  <si>
    <t>Demand, supply risk and inventory policy.</t>
  </si>
  <si>
    <t>Chief Supply Chain Officer</t>
  </si>
  <si>
    <t>Working Capital Office</t>
  </si>
  <si>
    <t>Inventory normalization.</t>
  </si>
  <si>
    <t>Safety stock and demand miss.</t>
  </si>
  <si>
    <t>Inventory &gt;75 days.</t>
  </si>
  <si>
    <t>CASH-03</t>
  </si>
  <si>
    <t>Days payable outstanding</t>
  </si>
  <si>
    <t>Trade-payable days based on material cost.</t>
  </si>
  <si>
    <t>Material cost × DPO ÷ 30.</t>
  </si>
  <si>
    <t>ERP payables</t>
  </si>
  <si>
    <t>Supplier terms and payment policy.</t>
  </si>
  <si>
    <t>Accounts Payable</t>
  </si>
  <si>
    <t>Terms extension.</t>
  </si>
  <si>
    <t>Supplier pressure and early payment.</t>
  </si>
  <si>
    <t>DPO &lt;47 days.</t>
  </si>
  <si>
    <t>CASH-04</t>
  </si>
  <si>
    <t>Capital expenditure ratio</t>
  </si>
  <si>
    <t>Capital expenditure as a share of revenue.</t>
  </si>
  <si>
    <t>Revenue × capex ratio.</t>
  </si>
  <si>
    <t>Capital project system</t>
  </si>
  <si>
    <t>Approved projects, capacity triggers and phasing.</t>
  </si>
  <si>
    <t>Capital Planning</t>
  </si>
  <si>
    <t>Release growth capacity.</t>
  </si>
  <si>
    <t>Defer non-critical capex.</t>
  </si>
  <si>
    <t>Liquidity headroom &lt;USD 500m.</t>
  </si>
  <si>
    <t>DRIVER QUALITY CHECK</t>
  </si>
  <si>
    <t>CAUSALITY
Does a change in the driver produce an explainable change in the financial output?</t>
  </si>
  <si>
    <t>CONTROLLABILITY
Can management influence the driver or respond when it changes?</t>
  </si>
  <si>
    <t>DATA INTEGRITY
Is the source timely, controlled and consistently defined?</t>
  </si>
  <si>
    <t>DECISION USE
Is the driver linked to a threshold, action or resource decision?</t>
  </si>
  <si>
    <t>Enterprise Toolkits  |  support@enterprsie-toolkits.org  |  © 2020  |  Confidential and Proprietary  |  Page 3 of 6</t>
  </si>
  <si>
    <t>18-MONTH ROLLING FORECAST TEMPLATE</t>
  </si>
  <si>
    <t>Yellow cells are user inputs | Select a scenario and update the forecast horizon monthly</t>
  </si>
  <si>
    <t>Selected Scenario</t>
  </si>
  <si>
    <t>Base</t>
  </si>
  <si>
    <t>SCENARIO ADJUSTMENTS TO BASE DRIVERS</t>
  </si>
  <si>
    <t>Scenario</t>
  </si>
  <si>
    <t>Volume Factor</t>
  </si>
  <si>
    <t>Price Factor</t>
  </si>
  <si>
    <t>Commodity Factor</t>
  </si>
  <si>
    <t>Productivity Factor</t>
  </si>
  <si>
    <t>DSO Adjustment</t>
  </si>
  <si>
    <t>Inventory Adjustment</t>
  </si>
  <si>
    <t>Capex Factor</t>
  </si>
  <si>
    <t>Selected Factors</t>
  </si>
  <si>
    <t>Volume</t>
  </si>
  <si>
    <t>Price</t>
  </si>
  <si>
    <t>Commodity</t>
  </si>
  <si>
    <t>Productivity</t>
  </si>
  <si>
    <t>DSO Adj.</t>
  </si>
  <si>
    <t>Inventory Adj.</t>
  </si>
  <si>
    <t>Capex</t>
  </si>
  <si>
    <t>BASE DRIVER INPUTS AND CALCULATED FINANCIAL OUTLOOK</t>
  </si>
  <si>
    <t>Driver / Financial Output</t>
  </si>
  <si>
    <t>Guidance</t>
  </si>
  <si>
    <t>Base units before scenario adjustment.</t>
  </si>
  <si>
    <t>Commercial HVAC ASP</t>
  </si>
  <si>
    <t>Net price before scenario adjustment.</t>
  </si>
  <si>
    <t>Residential heat-pump ASP</t>
  </si>
  <si>
    <t>Monthly commissioned projects.</t>
  </si>
  <si>
    <t>Project revenue per site</t>
  </si>
  <si>
    <t>USD / site</t>
  </si>
  <si>
    <t>Implementation revenue per commissioned site.</t>
  </si>
  <si>
    <t>Active paying subscriptions.</t>
  </si>
  <si>
    <t>Monthly subscription fee</t>
  </si>
  <si>
    <t>USD / month</t>
  </si>
  <si>
    <t>Net monthly recurring fee.</t>
  </si>
  <si>
    <t>Service technicians</t>
  </si>
  <si>
    <t>Available field-service technicians.</t>
  </si>
  <si>
    <t>Productive hours / technician</t>
  </si>
  <si>
    <t>Hours</t>
  </si>
  <si>
    <t>Available productive hours per month.</t>
  </si>
  <si>
    <t>Billable hours / available productive hours.</t>
  </si>
  <si>
    <t>Net realized service rate.</t>
  </si>
  <si>
    <t>Service parts revenue</t>
  </si>
  <si>
    <t>USD m</t>
  </si>
  <si>
    <t>Monthly parts and consumables revenue.</t>
  </si>
  <si>
    <t>Weighted external material-cost index.</t>
  </si>
  <si>
    <t>Output per labor and machine-hour, baseline = 100.</t>
  </si>
  <si>
    <t>Base material intensity</t>
  </si>
  <si>
    <t>% revenue</t>
  </si>
  <si>
    <t>Material cost at commodity and productivity index = 100.</t>
  </si>
  <si>
    <t>Base direct-labor intensity</t>
  </si>
  <si>
    <t>Direct labor cost at productivity index = 100.</t>
  </si>
  <si>
    <t>Freight, expedite and warranty expense.</t>
  </si>
  <si>
    <t>SG&amp;A and shared-service headcount.</t>
  </si>
  <si>
    <t>Salary, benefits and employment cost.</t>
  </si>
  <si>
    <t>Variable selling and marketing expense.</t>
  </si>
  <si>
    <t>Research and development expense.</t>
  </si>
  <si>
    <t>Accounts-receivable days before scenario adjustment.</t>
  </si>
  <si>
    <t>Inventory days before scenario adjustment.</t>
  </si>
  <si>
    <t>DPO</t>
  </si>
  <si>
    <t>Trade-payable days.</t>
  </si>
  <si>
    <t>Capex ratio</t>
  </si>
  <si>
    <t>Capital expenditure before scenario adjustment.</t>
  </si>
  <si>
    <t>Cash tax rate</t>
  </si>
  <si>
    <t>% EBITDA</t>
  </si>
  <si>
    <t>Simplified cash-tax assumption.</t>
  </si>
  <si>
    <t>CALCULATED P&amp;L, CASH FLOW AND LIQUIDITY</t>
  </si>
  <si>
    <t>Commercial HVAC revenue</t>
  </si>
  <si>
    <t>Residential heat-pump revenue</t>
  </si>
  <si>
    <t>Controls project revenue</t>
  </si>
  <si>
    <t>Controls subscription revenue</t>
  </si>
  <si>
    <t>Lifecycle service labor revenue</t>
  </si>
  <si>
    <t>Lifecycle service total revenue</t>
  </si>
  <si>
    <t>Total revenue</t>
  </si>
  <si>
    <t>Material cost ratio</t>
  </si>
  <si>
    <t>Material cost</t>
  </si>
  <si>
    <t>Direct labor cost</t>
  </si>
  <si>
    <t>Freight and warranty</t>
  </si>
  <si>
    <t>SG&amp;A</t>
  </si>
  <si>
    <t>R&amp;D</t>
  </si>
  <si>
    <t>EBITDA</t>
  </si>
  <si>
    <t>EBITDA margin</t>
  </si>
  <si>
    <t>Cost of goods sold</t>
  </si>
  <si>
    <t>Accounts receivable</t>
  </si>
  <si>
    <t>Inventory</t>
  </si>
  <si>
    <t>Accounts payable</t>
  </si>
  <si>
    <t>Net working capital</t>
  </si>
  <si>
    <t>Change in net working capital</t>
  </si>
  <si>
    <t>Capital expenditure</t>
  </si>
  <si>
    <t>Cash taxes</t>
  </si>
  <si>
    <t>Free cash flow</t>
  </si>
  <si>
    <t>Ending liquidity</t>
  </si>
  <si>
    <t>MANAGEMENT ACTION LOG</t>
  </si>
  <si>
    <t>Action ID</t>
  </si>
  <si>
    <t>Trigger / Variance</t>
  </si>
  <si>
    <t>Root Cause</t>
  </si>
  <si>
    <t>Management Action</t>
  </si>
  <si>
    <t>Financial Impact</t>
  </si>
  <si>
    <t>Due Date</t>
  </si>
  <si>
    <t>Status</t>
  </si>
  <si>
    <t>Decision Required</t>
  </si>
  <si>
    <t>ACT-01</t>
  </si>
  <si>
    <t>ACT-02</t>
  </si>
  <si>
    <t>ACT-03</t>
  </si>
  <si>
    <t>ACT-04</t>
  </si>
  <si>
    <t>ACT-05</t>
  </si>
  <si>
    <t>ACT-06</t>
  </si>
  <si>
    <t>ACT-07</t>
  </si>
  <si>
    <t>ACT-08</t>
  </si>
  <si>
    <t>Enterprise Toolkits  |  support@enterprsie-toolkits.org  |  © 2020  |  Confidential and Proprietary  |  Page 4 of 6</t>
  </si>
  <si>
    <t>WORKED EXAMPLE  |  27-MONTH ACTUAL &amp; ROLLING FORECAST</t>
  </si>
  <si>
    <t>Vertex Climate &amp; Building Systems Group | Actuals through September 2020, forecast through March 2022</t>
  </si>
  <si>
    <t>FY2021 Revenue</t>
  </si>
  <si>
    <t>FY2021 EBITDA Margin</t>
  </si>
  <si>
    <t>Actuals</t>
  </si>
  <si>
    <t>Closed months are not scenario-adjusted.</t>
  </si>
  <si>
    <t>ACTUALS, BASE DRIVERS AND SCENARIO-ADJUSTED FORECAST</t>
  </si>
  <si>
    <t>Actual / Forecast</t>
  </si>
  <si>
    <t>Actual</t>
  </si>
  <si>
    <t>Forecast</t>
  </si>
  <si>
    <t>Owner / Note</t>
  </si>
  <si>
    <t>FY2021 SCENARIO RANGE AND FORECAST-VERSUS-BUDGET BRIDGES</t>
  </si>
  <si>
    <t>Revenue</t>
  </si>
  <si>
    <t>EBITDA Margin</t>
  </si>
  <si>
    <t>Free Cash Flow</t>
  </si>
  <si>
    <t>Minimum Liquidity</t>
  </si>
  <si>
    <t>Management Posture</t>
  </si>
  <si>
    <t>FY2020 Revenue Bridge</t>
  </si>
  <si>
    <t>FY2020 EBITDA Bridge</t>
  </si>
  <si>
    <t>Priority</t>
  </si>
  <si>
    <t>Trigger</t>
  </si>
  <si>
    <t>Due Date / Status / Decision Required</t>
  </si>
  <si>
    <t>Execute productivity and working-capital plan; release capex to approved milestones.</t>
  </si>
  <si>
    <t>Budget</t>
  </si>
  <si>
    <t>Budget EBITDA</t>
  </si>
  <si>
    <t>Commodity index &gt;115</t>
  </si>
  <si>
    <t>Accelerate surcharge recovery, supplier negotiations and material substitution.</t>
  </si>
  <si>
    <t>Protect 120–160 bps margin.</t>
  </si>
  <si>
    <t>Approve design-to-value and hedging actions.</t>
  </si>
  <si>
    <t>15 Dec 2020 | In Progress | Approve design-to-value and hedging actions.</t>
  </si>
  <si>
    <t>Accelerate capacity, digital hiring and channel investments.</t>
  </si>
  <si>
    <t>Commercial volume</t>
  </si>
  <si>
    <t>Revenue and mix</t>
  </si>
  <si>
    <t>Commercial units &lt;92% of forecast</t>
  </si>
  <si>
    <t>Reduce overtime and contingent labor; prioritize backlog conversion.</t>
  </si>
  <si>
    <t>Protect USD 35m EBITDA.</t>
  </si>
  <si>
    <t>Approve monthly capacity flex rules.</t>
  </si>
  <si>
    <t>30 Nov 2020 | In Progress | Approve monthly capacity flex rules.</t>
  </si>
  <si>
    <t>Protect cash, reduce discretionary spend and defer non-critical capex.</t>
  </si>
  <si>
    <t>Residential recovery</t>
  </si>
  <si>
    <t>Price realization</t>
  </si>
  <si>
    <t>DSO &gt;58 days</t>
  </si>
  <si>
    <t>Launch executive collections sprint for top 40 overdue accounts.</t>
  </si>
  <si>
    <t>Release USD 90m cash.</t>
  </si>
  <si>
    <t>Escalate disputed project accounts.</t>
  </si>
  <si>
    <t>31 Dec 2020 | In Progress | Escalate disputed project accounts.</t>
  </si>
  <si>
    <t>Range</t>
  </si>
  <si>
    <t>Use scenario triggers to move capital and cost actions.</t>
  </si>
  <si>
    <t>Controls timing</t>
  </si>
  <si>
    <t>Material inflation</t>
  </si>
  <si>
    <t>Inventory &gt;75 days</t>
  </si>
  <si>
    <t>Reset safety stocks and disposition slow-moving inventory.</t>
  </si>
  <si>
    <t>Release USD 70m cash.</t>
  </si>
  <si>
    <t>Approve regional inventory targets.</t>
  </si>
  <si>
    <t>31 Jan 2021 | Not Started | Approve regional inventory targets.</t>
  </si>
  <si>
    <t>Service resilience</t>
  </si>
  <si>
    <t>Upside revenue trigger</t>
  </si>
  <si>
    <t>Release heat-pump and controls capacity expansion.</t>
  </si>
  <si>
    <t>USD 110m incremental revenue capacity.</t>
  </si>
  <si>
    <t>Release only when orders and channel inventory validate demand.</t>
  </si>
  <si>
    <t>28 Feb 2021 | Option Held | Release only when demand is validated.</t>
  </si>
  <si>
    <t>Price and mix</t>
  </si>
  <si>
    <t>SG&amp;A actions</t>
  </si>
  <si>
    <t>Liquidity &lt;USD 700m</t>
  </si>
  <si>
    <t>Freeze discretionary capex and non-critical hiring.</t>
  </si>
  <si>
    <t>Protect USD 150m liquidity.</t>
  </si>
  <si>
    <t>Pre-approve downside action package.</t>
  </si>
  <si>
    <t>31 Oct 2020 | Ready | Pre-approve downside action package.</t>
  </si>
  <si>
    <t>Foreign exchange</t>
  </si>
  <si>
    <t>R&amp;D and portfolio</t>
  </si>
  <si>
    <t>Service utilization &lt;75%</t>
  </si>
  <si>
    <t>Rebalance technician capacity and scheduling.</t>
  </si>
  <si>
    <t>Protect USD 20m revenue.</t>
  </si>
  <si>
    <t>Approve cross-region resource sharing.</t>
  </si>
  <si>
    <t>30 Nov 2020 | In Progress | Approve cross-region resource sharing.</t>
  </si>
  <si>
    <t>Supply constraints</t>
  </si>
  <si>
    <t>Other items</t>
  </si>
  <si>
    <t>Latest Forecast</t>
  </si>
  <si>
    <t>Latest Forecast EBITDA</t>
  </si>
  <si>
    <t>Enterprise Toolkits  |  support@enterprsie-toolkits.org  |  © 2020  |  Confidential and Proprietary  |  Page 5 of 6</t>
  </si>
  <si>
    <t>EXECUTIVE ROLLING-FORECAST CONTROL TOWER</t>
  </si>
  <si>
    <t>Vertex Climate &amp; Building Systems Group | October 2020 outlook, scenarios, liquidity and actions</t>
  </si>
  <si>
    <t>FY2020 Latest Forecast Revenue</t>
  </si>
  <si>
    <t>FY2021 Base Revenue</t>
  </si>
  <si>
    <t>FY2021 Base EBITDA Margin</t>
  </si>
  <si>
    <t>FY2021 Base Free Cash Flow</t>
  </si>
  <si>
    <t>BOARD HEADLINE: FY2020 revenue is below budget, but service resilience and residential recovery partly offset commercial weakness. FY2021 value creation depends on pricing, commodity recovery, productivity execution and working-capital discipline.</t>
  </si>
  <si>
    <t>Month</t>
  </si>
  <si>
    <t>FY2021 SCENARIO OUTLOOK</t>
  </si>
  <si>
    <t>Execute productivity and working-capital plan.</t>
  </si>
  <si>
    <t>Accelerate capacity and digital hiring.</t>
  </si>
  <si>
    <t>Protect cash and defer discretionary capex.</t>
  </si>
  <si>
    <t>Use trigger-based decisions.</t>
  </si>
  <si>
    <t>FY2020 FORECAST-VERSUS-BUDGET BRIDGE</t>
  </si>
  <si>
    <t>Revenue Driver</t>
  </si>
  <si>
    <t>EBITDA Driver</t>
  </si>
  <si>
    <t>Total variance</t>
  </si>
  <si>
    <t>LIQUIDITY AND CASH CONVERSION</t>
  </si>
  <si>
    <t>Metric</t>
  </si>
  <si>
    <t>Threshold</t>
  </si>
  <si>
    <t>Downside remains positive but requires immediate working-capital and capex actions.</t>
  </si>
  <si>
    <t>Liquidity remains above minimum threshold in all scenarios.</t>
  </si>
  <si>
    <t>Collections discipline is a critical downside control.</t>
  </si>
  <si>
    <t>Inventory Days</t>
  </si>
  <si>
    <t>Downside safety stock must be tightly governed.</t>
  </si>
  <si>
    <t>Capex is intentionally scenario-sensitive.</t>
  </si>
  <si>
    <t>EXECUTIVE ACTION PRIORITIES</t>
  </si>
  <si>
    <t>Variance</t>
  </si>
  <si>
    <t>Action</t>
  </si>
  <si>
    <t>Owner</t>
  </si>
  <si>
    <t>Timing</t>
  </si>
  <si>
    <t>Decision</t>
  </si>
  <si>
    <t>Pricing, sourcing and material-substitution package.</t>
  </si>
  <si>
    <t>Q4 2020</t>
  </si>
  <si>
    <t>In Progress</t>
  </si>
  <si>
    <t>Approve package.</t>
  </si>
  <si>
    <t>Commercial units &lt;92%</t>
  </si>
  <si>
    <t>Flex labor and accelerate backlog conversion.</t>
  </si>
  <si>
    <t>Commercial President</t>
  </si>
  <si>
    <t>Approve capacity rules.</t>
  </si>
  <si>
    <t>Executive collections sprint.</t>
  </si>
  <si>
    <t>Escalate disputes.</t>
  </si>
  <si>
    <t>Reset safety stocks and dispose slow-moving inventory.</t>
  </si>
  <si>
    <t>Q1 2021</t>
  </si>
  <si>
    <t>Not Started</t>
  </si>
  <si>
    <t>Approve targets.</t>
  </si>
  <si>
    <t>Upside demand trigger</t>
  </si>
  <si>
    <t>Release heat-pump and controls capacity.</t>
  </si>
  <si>
    <t>USD 110m revenue capacity.</t>
  </si>
  <si>
    <t>Option Held</t>
  </si>
  <si>
    <t>Trigger-based release.</t>
  </si>
  <si>
    <t>Immediate</t>
  </si>
  <si>
    <t>Ready</t>
  </si>
  <si>
    <t>Pre-approve package.</t>
  </si>
  <si>
    <t>RECOMMENDED BOARD DECISION
Approve the FY2020 latest forecast and the FY2021 base-case operating envelope. Authorize the downside action package in advance, release growth capex only against demand and liquidity triggers, and require monthly driver reviews for volume, pricing, commodity inflation, productivity, DSO and inventory.</t>
  </si>
  <si>
    <t>Enterprise Toolkits  |  support@enterprsie-toolkits.org  |  © 2020  |  Confidential and Proprietary  |  Page 6 of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</si>
</sst>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0.0"/>
    <numFmt numFmtId="165" formatCode="\$0.00&quot; bn&quot;"/>
    <numFmt numFmtId="166" formatCode="0.0%"/>
    <numFmt numFmtId="167" formatCode="0&quot; days&quot;"/>
    <numFmt numFmtId="168" formatCode="\$0.00"/>
    <numFmt numFmtId="169" formatCode="\$0.0&quot; m&quot;"/>
    <numFmt numFmtId="170" formatCode="dd\ mmm\ yyyy"/>
    <numFmt numFmtId="171" formatCode="0.0&quot; days&quot;"/>
    <numFmt numFmtId="172" formatCode="\$0&quot; m&quot;"/>
  </numFmts>
  <fonts count="19">
    <font>
      <sz val="11"/>
      <name val="Carlito"/>
    </font>
    <font>
      <b/>
      <sz val="9"/>
      <color rgb="FFFFFFFF"/>
      <name val="Aptos"/>
    </font>
    <font>
      <sz val="11"/>
      <name val="Aptos"/>
    </font>
    <font>
      <b/>
      <sz val="20"/>
      <color rgb="FF152433"/>
      <name val="Aptos"/>
    </font>
    <font>
      <i/>
      <sz val="10"/>
      <color rgb="FF5E6B73"/>
      <name val="Aptos"/>
    </font>
    <font>
      <b/>
      <sz val="23"/>
      <color rgb="FFFFFFFF"/>
      <name val="Aptos"/>
    </font>
    <font>
      <b/>
      <sz val="14"/>
      <color rgb="FF152433"/>
      <name val="Aptos"/>
    </font>
    <font>
      <sz val="11"/>
      <color rgb="FF5E6B73"/>
      <name val="Aptos"/>
    </font>
    <font>
      <b/>
      <sz val="10"/>
      <color rgb="FFFFFFFF"/>
      <name val="Aptos"/>
    </font>
    <font>
      <b/>
      <sz val="10"/>
      <color rgb="FF1E2A32"/>
      <name val="Aptos"/>
    </font>
    <font>
      <b/>
      <sz val="9"/>
      <color rgb="FF152433"/>
      <name val="Aptos"/>
    </font>
    <font>
      <sz val="9"/>
      <color rgb="FF1E2A32"/>
      <name val="Aptos"/>
    </font>
    <font>
      <sz val="8"/>
      <color rgb="FFFFFFFF"/>
      <name val="Aptos"/>
    </font>
    <font>
      <sz val="10"/>
      <color rgb="FFFFFFFF"/>
      <name val="Aptos"/>
    </font>
    <font>
      <b/>
      <sz val="19"/>
      <color rgb="FF152433"/>
      <name val="Aptos"/>
    </font>
    <font>
      <b/>
      <sz val="11"/>
      <color rgb="FF152433"/>
      <name val="Aptos"/>
    </font>
    <font>
      <b/>
      <sz val="9"/>
      <color rgb="FF1E2A32"/>
      <name val="Aptos"/>
    </font>
    <font>
      <sz val="10"/>
      <color rgb="FF1E2A32"/>
      <name val="Aptos"/>
    </font>
    <font>
      <b/>
      <sz val="10"/>
      <color rgb="FF152433"/>
      <name val="Aptos"/>
    </font>
  </fonts>
  <fills count="17">
    <fill>
      <patternFill patternType="none"/>
    </fill>
    <fill>
      <patternFill patternType="gray125"/>
    </fill>
    <fill>
      <patternFill patternType="solid">
        <fgColor rgb="FF152433"/>
      </patternFill>
    </fill>
    <fill>
      <patternFill patternType="solid">
        <fgColor rgb="FFFFFFFF"/>
      </patternFill>
    </fill>
    <fill>
      <patternFill patternType="solid">
        <fgColor rgb="FFE9783D"/>
      </patternFill>
    </fill>
    <fill>
      <patternFill patternType="solid">
        <fgColor rgb="FFDDEFF2"/>
      </patternFill>
    </fill>
    <fill>
      <patternFill patternType="solid">
        <fgColor rgb="FFF3F6F7"/>
      </patternFill>
    </fill>
    <fill>
      <patternFill patternType="solid">
        <fgColor rgb="FF1E8FA3"/>
      </patternFill>
    </fill>
    <fill>
      <patternFill patternType="solid">
        <fgColor rgb="FFF9E4D8"/>
      </patternFill>
    </fill>
    <fill>
      <patternFill patternType="solid">
        <fgColor rgb="FFECE8F4"/>
      </patternFill>
    </fill>
    <fill>
      <patternFill patternType="solid">
        <fgColor rgb="FFE1EFE7"/>
      </patternFill>
    </fill>
    <fill>
      <patternFill patternType="solid">
        <fgColor rgb="FF2E4659"/>
      </patternFill>
    </fill>
    <fill>
      <patternFill patternType="solid">
        <fgColor rgb="FFF7EDCF"/>
      </patternFill>
    </fill>
    <fill>
      <patternFill patternType="solid">
        <fgColor rgb="FFFFF2BF"/>
      </patternFill>
    </fill>
    <fill>
      <patternFill patternType="solid">
        <fgColor rgb="FF705E9B"/>
      </patternFill>
    </fill>
    <fill>
      <patternFill patternType="solid">
        <fgColor rgb="FF3D8064"/>
      </patternFill>
    </fill>
    <fill>
      <patternFill patternType="solid">
        <fgColor theme="5" tint="-0.249977111117893"/>
        <bgColor indexed="64"/>
      </patternFill>
    </fill>
  </fills>
  <borders count="63">
    <border>
      <left/>
      <right/>
      <top/>
      <bottom/>
      <diagonal/>
    </border>
    <border>
      <left style="thin">
        <color rgb="FF1E8FA3"/>
      </left>
      <right/>
      <top style="thin">
        <color rgb="FF1E8FA3"/>
      </top>
      <bottom/>
      <diagonal/>
    </border>
    <border>
      <left/>
      <right/>
      <top style="thin">
        <color rgb="FF1E8FA3"/>
      </top>
      <bottom/>
      <diagonal/>
    </border>
    <border>
      <left/>
      <right style="thin">
        <color rgb="FF1E8FA3"/>
      </right>
      <top style="thin">
        <color rgb="FF1E8FA3"/>
      </top>
      <bottom/>
      <diagonal/>
    </border>
    <border>
      <left style="thin">
        <color rgb="FF1E8FA3"/>
      </left>
      <right/>
      <top/>
      <bottom/>
      <diagonal/>
    </border>
    <border>
      <left/>
      <right style="thin">
        <color rgb="FF1E8FA3"/>
      </right>
      <top/>
      <bottom/>
      <diagonal/>
    </border>
    <border>
      <left style="thin">
        <color rgb="FF1E8FA3"/>
      </left>
      <right/>
      <top/>
      <bottom style="thin">
        <color rgb="FF1E8FA3"/>
      </bottom>
      <diagonal/>
    </border>
    <border>
      <left/>
      <right/>
      <top/>
      <bottom style="thin">
        <color rgb="FF1E8FA3"/>
      </bottom>
      <diagonal/>
    </border>
    <border>
      <left/>
      <right style="thin">
        <color rgb="FF1E8FA3"/>
      </right>
      <top/>
      <bottom style="thin">
        <color rgb="FF1E8FA3"/>
      </bottom>
      <diagonal/>
    </border>
    <border>
      <left style="thin">
        <color rgb="FFDCE3E7"/>
      </left>
      <right/>
      <top style="thin">
        <color rgb="FFDCE3E7"/>
      </top>
      <bottom/>
      <diagonal/>
    </border>
    <border>
      <left/>
      <right/>
      <top style="thin">
        <color rgb="FFDCE3E7"/>
      </top>
      <bottom/>
      <diagonal/>
    </border>
    <border>
      <left/>
      <right style="thin">
        <color rgb="FFDCE3E7"/>
      </right>
      <top style="thin">
        <color rgb="FFDCE3E7"/>
      </top>
      <bottom/>
      <diagonal/>
    </border>
    <border>
      <left style="thin">
        <color rgb="FFDCE3E7"/>
      </left>
      <right/>
      <top/>
      <bottom/>
      <diagonal/>
    </border>
    <border>
      <left/>
      <right style="thin">
        <color rgb="FFDCE3E7"/>
      </right>
      <top/>
      <bottom/>
      <diagonal/>
    </border>
    <border>
      <left style="thin">
        <color rgb="FFDCE3E7"/>
      </left>
      <right/>
      <top/>
      <bottom style="thin">
        <color rgb="FFDCE3E7"/>
      </bottom>
      <diagonal/>
    </border>
    <border>
      <left/>
      <right/>
      <top/>
      <bottom style="thin">
        <color rgb="FFDCE3E7"/>
      </bottom>
      <diagonal/>
    </border>
    <border>
      <left/>
      <right style="thin">
        <color rgb="FFDCE3E7"/>
      </right>
      <top/>
      <bottom style="thin">
        <color rgb="FFDCE3E7"/>
      </bottom>
      <diagonal/>
    </border>
    <border>
      <left style="thin">
        <color rgb="FFE9783D"/>
      </left>
      <right/>
      <top style="thin">
        <color rgb="FFE9783D"/>
      </top>
      <bottom/>
      <diagonal/>
    </border>
    <border>
      <left/>
      <right/>
      <top style="thin">
        <color rgb="FFE9783D"/>
      </top>
      <bottom/>
      <diagonal/>
    </border>
    <border>
      <left/>
      <right style="thin">
        <color rgb="FFE9783D"/>
      </right>
      <top style="thin">
        <color rgb="FFE9783D"/>
      </top>
      <bottom/>
      <diagonal/>
    </border>
    <border>
      <left style="thin">
        <color rgb="FFE9783D"/>
      </left>
      <right/>
      <top/>
      <bottom/>
      <diagonal/>
    </border>
    <border>
      <left/>
      <right style="thin">
        <color rgb="FFE9783D"/>
      </right>
      <top/>
      <bottom/>
      <diagonal/>
    </border>
    <border>
      <left style="thin">
        <color rgb="FFE9783D"/>
      </left>
      <right/>
      <top/>
      <bottom style="thin">
        <color rgb="FFE9783D"/>
      </bottom>
      <diagonal/>
    </border>
    <border>
      <left/>
      <right/>
      <top/>
      <bottom style="thin">
        <color rgb="FFE9783D"/>
      </bottom>
      <diagonal/>
    </border>
    <border>
      <left/>
      <right style="thin">
        <color rgb="FFE9783D"/>
      </right>
      <top/>
      <bottom style="thin">
        <color rgb="FFE9783D"/>
      </bottom>
      <diagonal/>
    </border>
    <border>
      <left style="thin">
        <color rgb="FF705E9B"/>
      </left>
      <right/>
      <top style="thin">
        <color rgb="FF705E9B"/>
      </top>
      <bottom/>
      <diagonal/>
    </border>
    <border>
      <left/>
      <right/>
      <top style="thin">
        <color rgb="FF705E9B"/>
      </top>
      <bottom/>
      <diagonal/>
    </border>
    <border>
      <left/>
      <right style="thin">
        <color rgb="FF705E9B"/>
      </right>
      <top style="thin">
        <color rgb="FF705E9B"/>
      </top>
      <bottom/>
      <diagonal/>
    </border>
    <border>
      <left style="thin">
        <color rgb="FF705E9B"/>
      </left>
      <right/>
      <top/>
      <bottom/>
      <diagonal/>
    </border>
    <border>
      <left/>
      <right style="thin">
        <color rgb="FF705E9B"/>
      </right>
      <top/>
      <bottom/>
      <diagonal/>
    </border>
    <border>
      <left style="thin">
        <color rgb="FF705E9B"/>
      </left>
      <right/>
      <top/>
      <bottom style="thin">
        <color rgb="FF705E9B"/>
      </bottom>
      <diagonal/>
    </border>
    <border>
      <left/>
      <right/>
      <top/>
      <bottom style="thin">
        <color rgb="FF705E9B"/>
      </bottom>
      <diagonal/>
    </border>
    <border>
      <left/>
      <right style="thin">
        <color rgb="FF705E9B"/>
      </right>
      <top/>
      <bottom style="thin">
        <color rgb="FF705E9B"/>
      </bottom>
      <diagonal/>
    </border>
    <border>
      <left style="thin">
        <color rgb="FF3D8064"/>
      </left>
      <right/>
      <top style="thin">
        <color rgb="FF3D8064"/>
      </top>
      <bottom/>
      <diagonal/>
    </border>
    <border>
      <left/>
      <right/>
      <top style="thin">
        <color rgb="FF3D8064"/>
      </top>
      <bottom/>
      <diagonal/>
    </border>
    <border>
      <left/>
      <right style="thin">
        <color rgb="FF3D8064"/>
      </right>
      <top style="thin">
        <color rgb="FF3D8064"/>
      </top>
      <bottom/>
      <diagonal/>
    </border>
    <border>
      <left style="thin">
        <color rgb="FF3D8064"/>
      </left>
      <right/>
      <top/>
      <bottom/>
      <diagonal/>
    </border>
    <border>
      <left/>
      <right style="thin">
        <color rgb="FF3D8064"/>
      </right>
      <top/>
      <bottom/>
      <diagonal/>
    </border>
    <border>
      <left style="thin">
        <color rgb="FF3D8064"/>
      </left>
      <right/>
      <top/>
      <bottom style="thin">
        <color rgb="FF3D8064"/>
      </bottom>
      <diagonal/>
    </border>
    <border>
      <left/>
      <right/>
      <top/>
      <bottom style="thin">
        <color rgb="FF3D8064"/>
      </bottom>
      <diagonal/>
    </border>
    <border>
      <left/>
      <right style="thin">
        <color rgb="FF3D8064"/>
      </right>
      <top/>
      <bottom style="thin">
        <color rgb="FF3D8064"/>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D6A43C"/>
      </left>
      <right/>
      <top style="thin">
        <color rgb="FFD6A43C"/>
      </top>
      <bottom/>
      <diagonal/>
    </border>
    <border>
      <left/>
      <right/>
      <top style="thin">
        <color rgb="FFD6A43C"/>
      </top>
      <bottom/>
      <diagonal/>
    </border>
    <border>
      <left/>
      <right style="thin">
        <color rgb="FFD6A43C"/>
      </right>
      <top style="thin">
        <color rgb="FFD6A43C"/>
      </top>
      <bottom/>
      <diagonal/>
    </border>
    <border>
      <left style="thin">
        <color rgb="FFD6A43C"/>
      </left>
      <right/>
      <top/>
      <bottom/>
      <diagonal/>
    </border>
    <border>
      <left/>
      <right style="thin">
        <color rgb="FFD6A43C"/>
      </right>
      <top/>
      <bottom/>
      <diagonal/>
    </border>
    <border>
      <left style="thin">
        <color rgb="FFD6A43C"/>
      </left>
      <right/>
      <top/>
      <bottom style="thin">
        <color rgb="FFD6A43C"/>
      </bottom>
      <diagonal/>
    </border>
    <border>
      <left/>
      <right/>
      <top/>
      <bottom style="thin">
        <color rgb="FFD6A43C"/>
      </bottom>
      <diagonal/>
    </border>
    <border>
      <left/>
      <right style="thin">
        <color rgb="FFD6A43C"/>
      </right>
      <top/>
      <bottom style="thin">
        <color rgb="FFD6A43C"/>
      </bottom>
      <diagonal/>
    </border>
    <border>
      <left style="thin">
        <color rgb="FFD6A43C"/>
      </left>
      <right/>
      <top style="thin">
        <color rgb="FFD6A43C"/>
      </top>
      <bottom style="thin">
        <color rgb="FFD6A43C"/>
      </bottom>
      <diagonal/>
    </border>
    <border>
      <left/>
      <right style="thin">
        <color rgb="FFD6A43C"/>
      </right>
      <top style="thin">
        <color rgb="FFD6A43C"/>
      </top>
      <bottom style="thin">
        <color rgb="FFD6A43C"/>
      </bottom>
      <diagonal/>
    </border>
    <border>
      <left style="thin">
        <color rgb="FFDCE3E7"/>
      </left>
      <right/>
      <top style="thin">
        <color rgb="FFDCE3E7"/>
      </top>
      <bottom style="thin">
        <color rgb="FFDCE3E7"/>
      </bottom>
      <diagonal/>
    </border>
    <border>
      <left/>
      <right/>
      <top style="thin">
        <color rgb="FFDCE3E7"/>
      </top>
      <bottom style="thin">
        <color rgb="FFDCE3E7"/>
      </bottom>
      <diagonal/>
    </border>
    <border>
      <left/>
      <right style="thin">
        <color rgb="FFDCE3E7"/>
      </right>
      <top style="thin">
        <color rgb="FFDCE3E7"/>
      </top>
      <bottom style="thin">
        <color rgb="FFDCE3E7"/>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s>
  <cellStyleXfs count="1">
    <xf numFmtId="0" fontId="0" fillId="0" borderId="0"/>
  </cellStyleXfs>
  <cellXfs count="307">
    <xf numFmtId="0" fontId="0" fillId="0" borderId="0" xfId="0"/>
    <xf numFmtId="0" fontId="1" fillId="11" borderId="41" xfId="0" applyNumberFormat="1" applyFont="1" applyFill="1" applyBorder="1" applyAlignment="1">
      <alignment horizontal="center" vertical="center" wrapText="1"/>
    </xf>
    <xf numFmtId="0" fontId="1" fillId="11" borderId="42" xfId="0" applyNumberFormat="1" applyFont="1" applyFill="1" applyBorder="1" applyAlignment="1">
      <alignment horizontal="center" vertical="center" wrapText="1"/>
    </xf>
    <xf numFmtId="0" fontId="1" fillId="11" borderId="43" xfId="0" applyNumberFormat="1" applyFont="1" applyFill="1" applyBorder="1" applyAlignment="1">
      <alignment horizontal="center" vertical="center" wrapText="1"/>
    </xf>
    <xf numFmtId="0" fontId="2" fillId="0" borderId="0" xfId="0" applyNumberFormat="1" applyFont="1" applyFill="1" applyBorder="1" applyAlignment="1">
      <alignment vertical="center"/>
    </xf>
    <xf numFmtId="0" fontId="2" fillId="4" borderId="0" xfId="0" applyNumberFormat="1" applyFont="1" applyFill="1" applyBorder="1" applyAlignment="1">
      <alignment vertical="center"/>
    </xf>
    <xf numFmtId="0" fontId="11" fillId="3" borderId="10" xfId="0" applyNumberFormat="1" applyFont="1" applyFill="1" applyBorder="1" applyAlignment="1">
      <alignment vertical="center" wrapText="1"/>
    </xf>
    <xf numFmtId="0" fontId="11" fillId="3" borderId="11" xfId="0" applyNumberFormat="1" applyFont="1" applyFill="1" applyBorder="1" applyAlignment="1">
      <alignment vertical="center" wrapText="1"/>
    </xf>
    <xf numFmtId="0" fontId="11" fillId="3" borderId="0" xfId="0" applyNumberFormat="1" applyFont="1" applyFill="1" applyBorder="1" applyAlignment="1">
      <alignment vertical="center" wrapText="1"/>
    </xf>
    <xf numFmtId="0" fontId="11" fillId="3" borderId="13" xfId="0" applyNumberFormat="1" applyFont="1" applyFill="1" applyBorder="1" applyAlignment="1">
      <alignment vertical="center" wrapText="1"/>
    </xf>
    <xf numFmtId="0" fontId="11" fillId="3" borderId="15" xfId="0" applyNumberFormat="1" applyFont="1" applyFill="1" applyBorder="1" applyAlignment="1">
      <alignment vertical="center" wrapText="1"/>
    </xf>
    <xf numFmtId="0" fontId="11" fillId="3" borderId="16" xfId="0" applyNumberFormat="1" applyFont="1" applyFill="1" applyBorder="1" applyAlignment="1">
      <alignment vertical="center" wrapText="1"/>
    </xf>
    <xf numFmtId="0" fontId="1" fillId="4" borderId="41" xfId="0" applyNumberFormat="1" applyFont="1" applyFill="1" applyBorder="1" applyAlignment="1">
      <alignment horizontal="center" vertical="center" wrapText="1"/>
    </xf>
    <xf numFmtId="0" fontId="1" fillId="4" borderId="42" xfId="0" applyNumberFormat="1" applyFont="1" applyFill="1" applyBorder="1" applyAlignment="1">
      <alignment horizontal="center" vertical="center" wrapText="1"/>
    </xf>
    <xf numFmtId="0" fontId="1" fillId="4" borderId="43" xfId="0" applyNumberFormat="1" applyFont="1" applyFill="1" applyBorder="1" applyAlignment="1">
      <alignment horizontal="center" vertical="center" wrapText="1"/>
    </xf>
    <xf numFmtId="0" fontId="11" fillId="3" borderId="9" xfId="0" applyNumberFormat="1" applyFont="1" applyFill="1" applyBorder="1" applyAlignment="1">
      <alignment vertical="center" wrapText="1"/>
    </xf>
    <xf numFmtId="165" fontId="11" fillId="3" borderId="10" xfId="0" applyNumberFormat="1" applyFont="1" applyFill="1" applyBorder="1" applyAlignment="1">
      <alignment vertical="center" wrapText="1"/>
    </xf>
    <xf numFmtId="166" fontId="11" fillId="3" borderId="10" xfId="0" applyNumberFormat="1" applyFont="1" applyFill="1" applyBorder="1" applyAlignment="1">
      <alignment vertical="center" wrapText="1"/>
    </xf>
    <xf numFmtId="0" fontId="11" fillId="3" borderId="12" xfId="0" applyNumberFormat="1" applyFont="1" applyFill="1" applyBorder="1" applyAlignment="1">
      <alignment vertical="center" wrapText="1"/>
    </xf>
    <xf numFmtId="165" fontId="11" fillId="3" borderId="0" xfId="0" applyNumberFormat="1" applyFont="1" applyFill="1" applyBorder="1" applyAlignment="1">
      <alignment vertical="center" wrapText="1"/>
    </xf>
    <xf numFmtId="166" fontId="11" fillId="3" borderId="0" xfId="0" applyNumberFormat="1" applyFont="1" applyFill="1" applyBorder="1" applyAlignment="1">
      <alignment vertical="center" wrapText="1"/>
    </xf>
    <xf numFmtId="0" fontId="10" fillId="5" borderId="14" xfId="0" applyNumberFormat="1" applyFont="1" applyFill="1" applyBorder="1" applyAlignment="1">
      <alignment vertical="center" wrapText="1"/>
    </xf>
    <xf numFmtId="165" fontId="10" fillId="5" borderId="15" xfId="0" applyNumberFormat="1" applyFont="1" applyFill="1" applyBorder="1" applyAlignment="1">
      <alignment vertical="center" wrapText="1"/>
    </xf>
    <xf numFmtId="166" fontId="10" fillId="5" borderId="15" xfId="0" applyNumberFormat="1" applyFont="1" applyFill="1" applyBorder="1" applyAlignment="1">
      <alignment vertical="center" wrapText="1"/>
    </xf>
    <xf numFmtId="0" fontId="10" fillId="5" borderId="15" xfId="0" applyNumberFormat="1" applyFont="1" applyFill="1" applyBorder="1" applyAlignment="1">
      <alignment vertical="center" wrapText="1"/>
    </xf>
    <xf numFmtId="0" fontId="10" fillId="5" borderId="16" xfId="0" applyNumberFormat="1" applyFont="1" applyFill="1" applyBorder="1" applyAlignment="1">
      <alignment vertical="center" wrapText="1"/>
    </xf>
    <xf numFmtId="1" fontId="11" fillId="3" borderId="0" xfId="0" applyNumberFormat="1" applyFont="1" applyFill="1" applyBorder="1" applyAlignment="1">
      <alignment vertical="center" wrapText="1"/>
    </xf>
    <xf numFmtId="167" fontId="11" fillId="3" borderId="0" xfId="0" applyNumberFormat="1" applyFont="1" applyFill="1" applyBorder="1" applyAlignment="1">
      <alignment vertical="center" wrapText="1"/>
    </xf>
    <xf numFmtId="0" fontId="11" fillId="3" borderId="14" xfId="0" applyNumberFormat="1" applyFont="1" applyFill="1" applyBorder="1" applyAlignment="1">
      <alignment vertical="center" wrapText="1"/>
    </xf>
    <xf numFmtId="166" fontId="11" fillId="3" borderId="15" xfId="0" applyNumberFormat="1" applyFont="1" applyFill="1" applyBorder="1" applyAlignment="1">
      <alignment vertical="center" wrapText="1"/>
    </xf>
    <xf numFmtId="0" fontId="1" fillId="7" borderId="41" xfId="0" applyNumberFormat="1" applyFont="1" applyFill="1" applyBorder="1" applyAlignment="1">
      <alignment horizontal="center" vertical="center" wrapText="1"/>
    </xf>
    <xf numFmtId="0" fontId="1" fillId="7" borderId="42" xfId="0" applyNumberFormat="1" applyFont="1" applyFill="1" applyBorder="1" applyAlignment="1">
      <alignment horizontal="center" vertical="center" wrapText="1"/>
    </xf>
    <xf numFmtId="0" fontId="1" fillId="7" borderId="43" xfId="0" applyNumberFormat="1" applyFont="1" applyFill="1" applyBorder="1" applyAlignment="1">
      <alignment horizontal="center" vertical="center" wrapText="1"/>
    </xf>
    <xf numFmtId="0" fontId="11" fillId="13" borderId="10" xfId="0" applyNumberFormat="1" applyFont="1" applyFill="1" applyBorder="1" applyAlignment="1">
      <alignment vertical="center" wrapText="1"/>
    </xf>
    <xf numFmtId="0" fontId="11" fillId="6" borderId="12" xfId="0" applyNumberFormat="1" applyFont="1" applyFill="1" applyBorder="1" applyAlignment="1">
      <alignment vertical="center" wrapText="1"/>
    </xf>
    <xf numFmtId="0" fontId="11" fillId="6" borderId="0" xfId="0" applyNumberFormat="1" applyFont="1" applyFill="1" applyBorder="1" applyAlignment="1">
      <alignment vertical="center" wrapText="1"/>
    </xf>
    <xf numFmtId="0" fontId="11" fillId="13" borderId="0" xfId="0" applyNumberFormat="1" applyFont="1" applyFill="1" applyBorder="1" applyAlignment="1">
      <alignment vertical="center" wrapText="1"/>
    </xf>
    <xf numFmtId="0" fontId="11" fillId="6" borderId="13" xfId="0" applyNumberFormat="1" applyFont="1" applyFill="1" applyBorder="1" applyAlignment="1">
      <alignment vertical="center" wrapText="1"/>
    </xf>
    <xf numFmtId="0" fontId="11" fillId="13" borderId="15" xfId="0" applyNumberFormat="1" applyFont="1" applyFill="1" applyBorder="1" applyAlignment="1">
      <alignment vertical="center" wrapText="1"/>
    </xf>
    <xf numFmtId="0" fontId="18" fillId="12" borderId="52" xfId="0" applyNumberFormat="1" applyFont="1" applyFill="1" applyBorder="1" applyAlignment="1">
      <alignment horizontal="center" vertical="center"/>
    </xf>
    <xf numFmtId="0" fontId="18" fillId="12" borderId="53" xfId="0" applyNumberFormat="1" applyFont="1" applyFill="1" applyBorder="1" applyAlignment="1">
      <alignment horizontal="center" vertical="center"/>
    </xf>
    <xf numFmtId="0" fontId="1" fillId="14" borderId="41" xfId="0" applyNumberFormat="1" applyFont="1" applyFill="1" applyBorder="1" applyAlignment="1">
      <alignment horizontal="center" vertical="center" wrapText="1"/>
    </xf>
    <xf numFmtId="0" fontId="1" fillId="14" borderId="42" xfId="0" applyNumberFormat="1" applyFont="1" applyFill="1" applyBorder="1" applyAlignment="1">
      <alignment horizontal="center" vertical="center" wrapText="1"/>
    </xf>
    <xf numFmtId="0" fontId="1" fillId="14" borderId="43" xfId="0" applyNumberFormat="1" applyFont="1" applyFill="1" applyBorder="1" applyAlignment="1">
      <alignment horizontal="center" vertical="center" wrapText="1"/>
    </xf>
    <xf numFmtId="17" fontId="1" fillId="7" borderId="42" xfId="0" applyNumberFormat="1" applyFont="1" applyFill="1" applyBorder="1" applyAlignment="1">
      <alignment horizontal="center" vertical="center" wrapText="1"/>
    </xf>
    <xf numFmtId="167" fontId="11" fillId="3" borderId="10" xfId="0" applyNumberFormat="1" applyFont="1" applyFill="1" applyBorder="1" applyAlignment="1">
      <alignment vertical="center" wrapText="1"/>
    </xf>
    <xf numFmtId="166" fontId="11" fillId="3" borderId="11" xfId="0" applyNumberFormat="1" applyFont="1" applyFill="1" applyBorder="1" applyAlignment="1">
      <alignment vertical="center" wrapText="1"/>
    </xf>
    <xf numFmtId="0" fontId="11" fillId="3" borderId="54" xfId="0" applyNumberFormat="1" applyFont="1" applyFill="1" applyBorder="1" applyAlignment="1">
      <alignment vertical="center" wrapText="1"/>
    </xf>
    <xf numFmtId="166" fontId="11" fillId="3" borderId="55" xfId="0" applyNumberFormat="1" applyFont="1" applyFill="1" applyBorder="1" applyAlignment="1">
      <alignment vertical="center" wrapText="1"/>
    </xf>
    <xf numFmtId="167" fontId="11" fillId="3" borderId="55" xfId="0" applyNumberFormat="1" applyFont="1" applyFill="1" applyBorder="1" applyAlignment="1">
      <alignment vertical="center" wrapText="1"/>
    </xf>
    <xf numFmtId="166" fontId="11" fillId="3" borderId="56" xfId="0" applyNumberFormat="1" applyFont="1" applyFill="1" applyBorder="1" applyAlignment="1">
      <alignment vertical="center" wrapText="1"/>
    </xf>
    <xf numFmtId="166" fontId="11" fillId="3" borderId="13" xfId="0" applyNumberFormat="1" applyFont="1" applyFill="1" applyBorder="1" applyAlignment="1">
      <alignment vertical="center" wrapText="1"/>
    </xf>
    <xf numFmtId="167" fontId="11" fillId="3" borderId="15" xfId="0" applyNumberFormat="1" applyFont="1" applyFill="1" applyBorder="1" applyAlignment="1">
      <alignment vertical="center" wrapText="1"/>
    </xf>
    <xf numFmtId="166" fontId="11" fillId="3" borderId="16" xfId="0" applyNumberFormat="1" applyFont="1" applyFill="1" applyBorder="1" applyAlignment="1">
      <alignment vertical="center" wrapText="1"/>
    </xf>
    <xf numFmtId="0" fontId="16" fillId="3" borderId="9" xfId="0" applyNumberFormat="1" applyFont="1" applyFill="1" applyBorder="1" applyAlignment="1">
      <alignment vertical="center" wrapText="1"/>
    </xf>
    <xf numFmtId="1" fontId="11" fillId="13" borderId="10" xfId="0" applyNumberFormat="1" applyFont="1" applyFill="1" applyBorder="1" applyAlignment="1">
      <alignment vertical="center" wrapText="1"/>
    </xf>
    <xf numFmtId="0" fontId="16" fillId="6" borderId="12" xfId="0" applyNumberFormat="1" applyFont="1" applyFill="1" applyBorder="1" applyAlignment="1">
      <alignment vertical="center" wrapText="1"/>
    </xf>
    <xf numFmtId="168" fontId="11" fillId="13" borderId="0" xfId="0" applyNumberFormat="1" applyFont="1" applyFill="1" applyBorder="1" applyAlignment="1">
      <alignment vertical="center" wrapText="1"/>
    </xf>
    <xf numFmtId="0" fontId="16" fillId="3" borderId="12" xfId="0" applyNumberFormat="1" applyFont="1" applyFill="1" applyBorder="1" applyAlignment="1">
      <alignment vertical="center" wrapText="1"/>
    </xf>
    <xf numFmtId="1" fontId="11" fillId="13" borderId="0" xfId="0" applyNumberFormat="1" applyFont="1" applyFill="1" applyBorder="1" applyAlignment="1">
      <alignment vertical="center" wrapText="1"/>
    </xf>
    <xf numFmtId="169" fontId="11" fillId="13" borderId="0" xfId="0" applyNumberFormat="1" applyFont="1" applyFill="1" applyBorder="1" applyAlignment="1">
      <alignment vertical="center" wrapText="1"/>
    </xf>
    <xf numFmtId="166" fontId="11" fillId="13" borderId="0" xfId="0" applyNumberFormat="1" applyFont="1" applyFill="1" applyBorder="1" applyAlignment="1">
      <alignment vertical="center" wrapText="1"/>
    </xf>
    <xf numFmtId="164" fontId="11" fillId="13" borderId="0" xfId="0" applyNumberFormat="1" applyFont="1" applyFill="1" applyBorder="1" applyAlignment="1">
      <alignment vertical="center" wrapText="1"/>
    </xf>
    <xf numFmtId="167" fontId="11" fillId="13" borderId="0" xfId="0" applyNumberFormat="1" applyFont="1" applyFill="1" applyBorder="1" applyAlignment="1">
      <alignment vertical="center" wrapText="1"/>
    </xf>
    <xf numFmtId="0" fontId="16" fillId="3" borderId="14" xfId="0" applyNumberFormat="1" applyFont="1" applyFill="1" applyBorder="1" applyAlignment="1">
      <alignment vertical="center" wrapText="1"/>
    </xf>
    <xf numFmtId="166" fontId="11" fillId="13" borderId="15" xfId="0" applyNumberFormat="1" applyFont="1" applyFill="1" applyBorder="1" applyAlignment="1">
      <alignment vertical="center" wrapText="1"/>
    </xf>
    <xf numFmtId="169" fontId="11" fillId="3" borderId="10" xfId="0" applyNumberFormat="1" applyFont="1" applyFill="1" applyBorder="1" applyAlignment="1">
      <alignment vertical="center" wrapText="1"/>
    </xf>
    <xf numFmtId="169" fontId="11" fillId="6" borderId="0" xfId="0" applyNumberFormat="1" applyFont="1" applyFill="1" applyBorder="1" applyAlignment="1">
      <alignment vertical="center" wrapText="1"/>
    </xf>
    <xf numFmtId="169" fontId="11" fillId="3" borderId="0" xfId="0" applyNumberFormat="1" applyFont="1" applyFill="1" applyBorder="1" applyAlignment="1">
      <alignment vertical="center" wrapText="1"/>
    </xf>
    <xf numFmtId="166" fontId="11" fillId="6" borderId="0" xfId="0" applyNumberFormat="1" applyFont="1" applyFill="1" applyBorder="1" applyAlignment="1">
      <alignment vertical="center" wrapText="1"/>
    </xf>
    <xf numFmtId="169" fontId="11" fillId="3" borderId="15" xfId="0" applyNumberFormat="1" applyFont="1" applyFill="1" applyBorder="1" applyAlignment="1">
      <alignment vertical="center" wrapText="1"/>
    </xf>
    <xf numFmtId="170" fontId="11" fillId="13" borderId="10" xfId="0" applyNumberFormat="1" applyFont="1" applyFill="1" applyBorder="1" applyAlignment="1">
      <alignment vertical="center" wrapText="1"/>
    </xf>
    <xf numFmtId="170" fontId="11" fillId="13" borderId="0" xfId="0" applyNumberFormat="1" applyFont="1" applyFill="1" applyBorder="1" applyAlignment="1">
      <alignment vertical="center" wrapText="1"/>
    </xf>
    <xf numFmtId="170" fontId="11" fillId="13" borderId="15" xfId="0" applyNumberFormat="1" applyFont="1" applyFill="1" applyBorder="1" applyAlignment="1">
      <alignment vertical="center" wrapText="1"/>
    </xf>
    <xf numFmtId="0" fontId="1" fillId="7" borderId="57" xfId="0" applyNumberFormat="1" applyFont="1" applyFill="1" applyBorder="1" applyAlignment="1">
      <alignment horizontal="center" vertical="center" wrapText="1"/>
    </xf>
    <xf numFmtId="0" fontId="1" fillId="11" borderId="58" xfId="0" applyNumberFormat="1" applyFont="1" applyFill="1" applyBorder="1" applyAlignment="1">
      <alignment horizontal="center" vertical="center" wrapText="1"/>
    </xf>
    <xf numFmtId="0" fontId="1" fillId="4" borderId="58" xfId="0" applyNumberFormat="1" applyFont="1" applyFill="1" applyBorder="1" applyAlignment="1">
      <alignment horizontal="center" vertical="center" wrapText="1"/>
    </xf>
    <xf numFmtId="0" fontId="1" fillId="7" borderId="58" xfId="0" applyNumberFormat="1" applyFont="1" applyFill="1" applyBorder="1" applyAlignment="1">
      <alignment horizontal="center" vertical="center" wrapText="1"/>
    </xf>
    <xf numFmtId="0" fontId="1" fillId="7" borderId="59" xfId="0" applyNumberFormat="1" applyFont="1" applyFill="1" applyBorder="1" applyAlignment="1">
      <alignment horizontal="center" vertical="center" wrapText="1"/>
    </xf>
    <xf numFmtId="0" fontId="1" fillId="7" borderId="60" xfId="0" applyNumberFormat="1" applyFont="1" applyFill="1" applyBorder="1" applyAlignment="1">
      <alignment horizontal="center" vertical="center" wrapText="1"/>
    </xf>
    <xf numFmtId="17" fontId="1" fillId="7" borderId="61" xfId="0" applyNumberFormat="1" applyFont="1" applyFill="1" applyBorder="1" applyAlignment="1">
      <alignment horizontal="center" vertical="center" wrapText="1"/>
    </xf>
    <xf numFmtId="0" fontId="1" fillId="7" borderId="61" xfId="0" applyNumberFormat="1" applyFont="1" applyFill="1" applyBorder="1" applyAlignment="1">
      <alignment horizontal="center" vertical="center" wrapText="1"/>
    </xf>
    <xf numFmtId="0" fontId="1" fillId="7" borderId="62" xfId="0" applyNumberFormat="1" applyFont="1" applyFill="1" applyBorder="1" applyAlignment="1">
      <alignment horizontal="center" vertical="center" wrapText="1"/>
    </xf>
    <xf numFmtId="1" fontId="11" fillId="3" borderId="10" xfId="0" applyNumberFormat="1" applyFont="1" applyFill="1" applyBorder="1" applyAlignment="1">
      <alignment vertical="center" wrapText="1"/>
    </xf>
    <xf numFmtId="168" fontId="11" fillId="6" borderId="0" xfId="0" applyNumberFormat="1" applyFont="1" applyFill="1" applyBorder="1" applyAlignment="1">
      <alignment vertical="center" wrapText="1"/>
    </xf>
    <xf numFmtId="1" fontId="11" fillId="6" borderId="0" xfId="0" applyNumberFormat="1" applyFont="1" applyFill="1" applyBorder="1" applyAlignment="1">
      <alignment vertical="center" wrapText="1"/>
    </xf>
    <xf numFmtId="164" fontId="11" fillId="6" borderId="0" xfId="0" applyNumberFormat="1" applyFont="1" applyFill="1" applyBorder="1" applyAlignment="1">
      <alignment vertical="center" wrapText="1"/>
    </xf>
    <xf numFmtId="164" fontId="11" fillId="3" borderId="0" xfId="0" applyNumberFormat="1" applyFont="1" applyFill="1" applyBorder="1" applyAlignment="1">
      <alignment vertical="center" wrapText="1"/>
    </xf>
    <xf numFmtId="171" fontId="11" fillId="3" borderId="0" xfId="0" applyNumberFormat="1" applyFont="1" applyFill="1" applyBorder="1" applyAlignment="1">
      <alignment vertical="center" wrapText="1"/>
    </xf>
    <xf numFmtId="171" fontId="11" fillId="13" borderId="0" xfId="0" applyNumberFormat="1" applyFont="1" applyFill="1" applyBorder="1" applyAlignment="1">
      <alignment vertical="center" wrapText="1"/>
    </xf>
    <xf numFmtId="171" fontId="11" fillId="6" borderId="0" xfId="0" applyNumberFormat="1" applyFont="1" applyFill="1" applyBorder="1" applyAlignment="1">
      <alignment vertical="center" wrapText="1"/>
    </xf>
    <xf numFmtId="172" fontId="11" fillId="3" borderId="10" xfId="0" applyNumberFormat="1" applyFont="1" applyFill="1" applyBorder="1" applyAlignment="1">
      <alignment vertical="center" wrapText="1"/>
    </xf>
    <xf numFmtId="172" fontId="11" fillId="3" borderId="11" xfId="0" applyNumberFormat="1" applyFont="1" applyFill="1" applyBorder="1" applyAlignment="1">
      <alignment vertical="center" wrapText="1"/>
    </xf>
    <xf numFmtId="172" fontId="11" fillId="3" borderId="0" xfId="0" applyNumberFormat="1" applyFont="1" applyFill="1" applyBorder="1" applyAlignment="1">
      <alignment vertical="center" wrapText="1"/>
    </xf>
    <xf numFmtId="172" fontId="11" fillId="3" borderId="13" xfId="0" applyNumberFormat="1" applyFont="1" applyFill="1" applyBorder="1" applyAlignment="1">
      <alignment vertical="center" wrapText="1"/>
    </xf>
    <xf numFmtId="165" fontId="11" fillId="3" borderId="15" xfId="0" applyNumberFormat="1" applyFont="1" applyFill="1" applyBorder="1" applyAlignment="1">
      <alignment vertical="center" wrapText="1"/>
    </xf>
    <xf numFmtId="172" fontId="11" fillId="3" borderId="15" xfId="0" applyNumberFormat="1" applyFont="1" applyFill="1" applyBorder="1" applyAlignment="1">
      <alignment vertical="center" wrapText="1"/>
    </xf>
    <xf numFmtId="172" fontId="11" fillId="3" borderId="16" xfId="0" applyNumberFormat="1" applyFont="1" applyFill="1" applyBorder="1" applyAlignment="1">
      <alignment vertical="center" wrapText="1"/>
    </xf>
    <xf numFmtId="0" fontId="1" fillId="15" borderId="41" xfId="0" applyNumberFormat="1" applyFont="1" applyFill="1" applyBorder="1" applyAlignment="1">
      <alignment horizontal="center" vertical="center" wrapText="1"/>
    </xf>
    <xf numFmtId="0" fontId="1" fillId="15" borderId="42" xfId="0" applyNumberFormat="1" applyFont="1" applyFill="1" applyBorder="1" applyAlignment="1">
      <alignment horizontal="center" vertical="center" wrapText="1"/>
    </xf>
    <xf numFmtId="0" fontId="1" fillId="15" borderId="43" xfId="0" applyNumberFormat="1" applyFont="1" applyFill="1" applyBorder="1" applyAlignment="1">
      <alignment horizontal="center" vertical="center" wrapText="1"/>
    </xf>
    <xf numFmtId="17" fontId="2" fillId="0" borderId="0" xfId="0" applyNumberFormat="1" applyFont="1" applyFill="1" applyBorder="1" applyAlignment="1">
      <alignment vertical="center"/>
    </xf>
    <xf numFmtId="169" fontId="2" fillId="0" borderId="0" xfId="0" applyNumberFormat="1" applyFont="1" applyFill="1" applyBorder="1" applyAlignment="1">
      <alignment vertical="center"/>
    </xf>
    <xf numFmtId="0" fontId="1" fillId="2" borderId="0" xfId="0" applyNumberFormat="1" applyFont="1" applyFill="1" applyBorder="1" applyAlignment="1">
      <alignment vertical="center"/>
    </xf>
    <xf numFmtId="0" fontId="1" fillId="2" borderId="0" xfId="0" applyNumberFormat="1" applyFont="1" applyFill="1" applyBorder="1" applyAlignment="1">
      <alignment horizontal="right" vertical="center"/>
    </xf>
    <xf numFmtId="0" fontId="3" fillId="3" borderId="0" xfId="0" applyNumberFormat="1" applyFont="1" applyFill="1" applyBorder="1" applyAlignment="1">
      <alignment vertical="center"/>
    </xf>
    <xf numFmtId="0" fontId="4" fillId="3" borderId="0" xfId="0" applyNumberFormat="1" applyFont="1" applyFill="1" applyBorder="1" applyAlignment="1">
      <alignment vertical="center"/>
    </xf>
    <xf numFmtId="0" fontId="6" fillId="5" borderId="1" xfId="0" applyNumberFormat="1" applyFont="1" applyFill="1" applyBorder="1" applyAlignment="1">
      <alignment vertical="center" wrapText="1"/>
    </xf>
    <xf numFmtId="0" fontId="6" fillId="5" borderId="2" xfId="0" applyNumberFormat="1" applyFont="1" applyFill="1" applyBorder="1" applyAlignment="1">
      <alignment vertical="center" wrapText="1"/>
    </xf>
    <xf numFmtId="0" fontId="6" fillId="5" borderId="3" xfId="0" applyNumberFormat="1" applyFont="1" applyFill="1" applyBorder="1" applyAlignment="1">
      <alignment vertical="center" wrapText="1"/>
    </xf>
    <xf numFmtId="0" fontId="6" fillId="5" borderId="4" xfId="0" applyNumberFormat="1" applyFont="1" applyFill="1" applyBorder="1" applyAlignment="1">
      <alignment vertical="center" wrapText="1"/>
    </xf>
    <xf numFmtId="0" fontId="6" fillId="5" borderId="0" xfId="0" applyNumberFormat="1" applyFont="1" applyFill="1" applyBorder="1" applyAlignment="1">
      <alignment vertical="center" wrapText="1"/>
    </xf>
    <xf numFmtId="0" fontId="6" fillId="5" borderId="5" xfId="0" applyNumberFormat="1" applyFont="1" applyFill="1" applyBorder="1" applyAlignment="1">
      <alignment vertical="center" wrapText="1"/>
    </xf>
    <xf numFmtId="0" fontId="6" fillId="5" borderId="6" xfId="0" applyNumberFormat="1" applyFont="1" applyFill="1" applyBorder="1" applyAlignment="1">
      <alignment vertical="center" wrapText="1"/>
    </xf>
    <xf numFmtId="0" fontId="6" fillId="5" borderId="7" xfId="0" applyNumberFormat="1" applyFont="1" applyFill="1" applyBorder="1" applyAlignment="1">
      <alignment vertical="center" wrapText="1"/>
    </xf>
    <xf numFmtId="0" fontId="6" fillId="5" borderId="8" xfId="0" applyNumberFormat="1" applyFont="1" applyFill="1" applyBorder="1" applyAlignment="1">
      <alignment vertical="center" wrapText="1"/>
    </xf>
    <xf numFmtId="0" fontId="7" fillId="6" borderId="9" xfId="0" applyNumberFormat="1" applyFont="1" applyFill="1" applyBorder="1" applyAlignment="1">
      <alignment vertical="center" wrapText="1"/>
    </xf>
    <xf numFmtId="0" fontId="7" fillId="6" borderId="10" xfId="0" applyNumberFormat="1" applyFont="1" applyFill="1" applyBorder="1" applyAlignment="1">
      <alignment vertical="center" wrapText="1"/>
    </xf>
    <xf numFmtId="0" fontId="7" fillId="6" borderId="11" xfId="0" applyNumberFormat="1" applyFont="1" applyFill="1" applyBorder="1" applyAlignment="1">
      <alignment vertical="center" wrapText="1"/>
    </xf>
    <xf numFmtId="0" fontId="7" fillId="6" borderId="12" xfId="0" applyNumberFormat="1" applyFont="1" applyFill="1" applyBorder="1" applyAlignment="1">
      <alignment vertical="center" wrapText="1"/>
    </xf>
    <xf numFmtId="0" fontId="7" fillId="6" borderId="0" xfId="0" applyNumberFormat="1" applyFont="1" applyFill="1" applyBorder="1" applyAlignment="1">
      <alignment vertical="center" wrapText="1"/>
    </xf>
    <xf numFmtId="0" fontId="7" fillId="6" borderId="13" xfId="0" applyNumberFormat="1" applyFont="1" applyFill="1" applyBorder="1" applyAlignment="1">
      <alignment vertical="center" wrapText="1"/>
    </xf>
    <xf numFmtId="0" fontId="7" fillId="6" borderId="14" xfId="0" applyNumberFormat="1" applyFont="1" applyFill="1" applyBorder="1" applyAlignment="1">
      <alignment vertical="center" wrapText="1"/>
    </xf>
    <xf numFmtId="0" fontId="7" fillId="6" borderId="15" xfId="0" applyNumberFormat="1" applyFont="1" applyFill="1" applyBorder="1" applyAlignment="1">
      <alignment vertical="center" wrapText="1"/>
    </xf>
    <xf numFmtId="0" fontId="7" fillId="6" borderId="16" xfId="0" applyNumberFormat="1" applyFont="1" applyFill="1" applyBorder="1" applyAlignment="1">
      <alignment vertical="center" wrapText="1"/>
    </xf>
    <xf numFmtId="0" fontId="8" fillId="7" borderId="0" xfId="0" applyNumberFormat="1" applyFont="1" applyFill="1" applyBorder="1" applyAlignment="1">
      <alignment vertical="center"/>
    </xf>
    <xf numFmtId="0" fontId="9" fillId="5" borderId="1" xfId="0" applyNumberFormat="1" applyFont="1" applyFill="1" applyBorder="1" applyAlignment="1">
      <alignment horizontal="center" vertical="center" wrapText="1"/>
    </xf>
    <xf numFmtId="0" fontId="9" fillId="5" borderId="2" xfId="0" applyNumberFormat="1" applyFont="1" applyFill="1" applyBorder="1" applyAlignment="1">
      <alignment horizontal="center" vertical="center" wrapText="1"/>
    </xf>
    <xf numFmtId="0" fontId="9" fillId="5" borderId="3" xfId="0" applyNumberFormat="1" applyFont="1" applyFill="1" applyBorder="1" applyAlignment="1">
      <alignment horizontal="center" vertical="center" wrapText="1"/>
    </xf>
    <xf numFmtId="0" fontId="9" fillId="5" borderId="4" xfId="0" applyNumberFormat="1" applyFont="1" applyFill="1" applyBorder="1" applyAlignment="1">
      <alignment horizontal="center" vertical="center" wrapText="1"/>
    </xf>
    <xf numFmtId="0" fontId="9" fillId="5" borderId="0" xfId="0" applyNumberFormat="1" applyFont="1" applyFill="1" applyBorder="1" applyAlignment="1">
      <alignment horizontal="center" vertical="center" wrapText="1"/>
    </xf>
    <xf numFmtId="0" fontId="9" fillId="5" borderId="5" xfId="0" applyNumberFormat="1" applyFont="1" applyFill="1" applyBorder="1" applyAlignment="1">
      <alignment horizontal="center" vertical="center" wrapText="1"/>
    </xf>
    <xf numFmtId="0" fontId="9" fillId="5" borderId="6" xfId="0" applyNumberFormat="1" applyFont="1" applyFill="1" applyBorder="1" applyAlignment="1">
      <alignment horizontal="center" vertical="center" wrapText="1"/>
    </xf>
    <xf numFmtId="0" fontId="9" fillId="5" borderId="7" xfId="0" applyNumberFormat="1" applyFont="1" applyFill="1" applyBorder="1" applyAlignment="1">
      <alignment horizontal="center" vertical="center" wrapText="1"/>
    </xf>
    <xf numFmtId="0" fontId="9" fillId="5" borderId="8" xfId="0" applyNumberFormat="1" applyFont="1" applyFill="1" applyBorder="1" applyAlignment="1">
      <alignment horizontal="center" vertical="center" wrapText="1"/>
    </xf>
    <xf numFmtId="0" fontId="9" fillId="8" borderId="17" xfId="0" applyNumberFormat="1" applyFont="1" applyFill="1" applyBorder="1" applyAlignment="1">
      <alignment horizontal="center" vertical="center" wrapText="1"/>
    </xf>
    <xf numFmtId="0" fontId="9" fillId="8" borderId="18" xfId="0" applyNumberFormat="1" applyFont="1" applyFill="1" applyBorder="1" applyAlignment="1">
      <alignment horizontal="center" vertical="center" wrapText="1"/>
    </xf>
    <xf numFmtId="0" fontId="9" fillId="8" borderId="19" xfId="0" applyNumberFormat="1" applyFont="1" applyFill="1" applyBorder="1" applyAlignment="1">
      <alignment horizontal="center" vertical="center" wrapText="1"/>
    </xf>
    <xf numFmtId="0" fontId="9" fillId="8" borderId="20" xfId="0" applyNumberFormat="1" applyFont="1" applyFill="1" applyBorder="1" applyAlignment="1">
      <alignment horizontal="center" vertical="center" wrapText="1"/>
    </xf>
    <xf numFmtId="0" fontId="9" fillId="8" borderId="0" xfId="0" applyNumberFormat="1" applyFont="1" applyFill="1" applyBorder="1" applyAlignment="1">
      <alignment horizontal="center" vertical="center" wrapText="1"/>
    </xf>
    <xf numFmtId="0" fontId="9" fillId="8" borderId="21" xfId="0" applyNumberFormat="1" applyFont="1" applyFill="1" applyBorder="1" applyAlignment="1">
      <alignment horizontal="center" vertical="center" wrapText="1"/>
    </xf>
    <xf numFmtId="0" fontId="9" fillId="8" borderId="22" xfId="0" applyNumberFormat="1" applyFont="1" applyFill="1" applyBorder="1" applyAlignment="1">
      <alignment horizontal="center" vertical="center" wrapText="1"/>
    </xf>
    <xf numFmtId="0" fontId="9" fillId="8" borderId="23" xfId="0" applyNumberFormat="1" applyFont="1" applyFill="1" applyBorder="1" applyAlignment="1">
      <alignment horizontal="center" vertical="center" wrapText="1"/>
    </xf>
    <xf numFmtId="0" fontId="9" fillId="8" borderId="24" xfId="0" applyNumberFormat="1" applyFont="1" applyFill="1" applyBorder="1" applyAlignment="1">
      <alignment horizontal="center" vertical="center" wrapText="1"/>
    </xf>
    <xf numFmtId="0" fontId="9" fillId="9" borderId="25" xfId="0" applyNumberFormat="1" applyFont="1" applyFill="1" applyBorder="1" applyAlignment="1">
      <alignment horizontal="center" vertical="center" wrapText="1"/>
    </xf>
    <xf numFmtId="0" fontId="9" fillId="9" borderId="26" xfId="0" applyNumberFormat="1" applyFont="1" applyFill="1" applyBorder="1" applyAlignment="1">
      <alignment horizontal="center" vertical="center" wrapText="1"/>
    </xf>
    <xf numFmtId="0" fontId="9" fillId="9" borderId="27" xfId="0" applyNumberFormat="1" applyFont="1" applyFill="1" applyBorder="1" applyAlignment="1">
      <alignment horizontal="center" vertical="center" wrapText="1"/>
    </xf>
    <xf numFmtId="0" fontId="9" fillId="9" borderId="28" xfId="0" applyNumberFormat="1" applyFont="1" applyFill="1" applyBorder="1" applyAlignment="1">
      <alignment horizontal="center" vertical="center" wrapText="1"/>
    </xf>
    <xf numFmtId="0" fontId="9" fillId="9" borderId="0" xfId="0" applyNumberFormat="1" applyFont="1" applyFill="1" applyBorder="1" applyAlignment="1">
      <alignment horizontal="center" vertical="center" wrapText="1"/>
    </xf>
    <xf numFmtId="0" fontId="9" fillId="9" borderId="29" xfId="0" applyNumberFormat="1" applyFont="1" applyFill="1" applyBorder="1" applyAlignment="1">
      <alignment horizontal="center" vertical="center" wrapText="1"/>
    </xf>
    <xf numFmtId="0" fontId="9" fillId="9" borderId="30" xfId="0" applyNumberFormat="1" applyFont="1" applyFill="1" applyBorder="1" applyAlignment="1">
      <alignment horizontal="center" vertical="center" wrapText="1"/>
    </xf>
    <xf numFmtId="0" fontId="9" fillId="9" borderId="31" xfId="0" applyNumberFormat="1" applyFont="1" applyFill="1" applyBorder="1" applyAlignment="1">
      <alignment horizontal="center" vertical="center" wrapText="1"/>
    </xf>
    <xf numFmtId="0" fontId="9" fillId="9" borderId="32" xfId="0" applyNumberFormat="1" applyFont="1" applyFill="1" applyBorder="1" applyAlignment="1">
      <alignment horizontal="center" vertical="center" wrapText="1"/>
    </xf>
    <xf numFmtId="0" fontId="9" fillId="10" borderId="33" xfId="0" applyNumberFormat="1" applyFont="1" applyFill="1" applyBorder="1" applyAlignment="1">
      <alignment horizontal="center" vertical="center" wrapText="1"/>
    </xf>
    <xf numFmtId="0" fontId="9" fillId="10" borderId="34" xfId="0" applyNumberFormat="1" applyFont="1" applyFill="1" applyBorder="1" applyAlignment="1">
      <alignment horizontal="center" vertical="center" wrapText="1"/>
    </xf>
    <xf numFmtId="0" fontId="9" fillId="10" borderId="35" xfId="0" applyNumberFormat="1" applyFont="1" applyFill="1" applyBorder="1" applyAlignment="1">
      <alignment horizontal="center" vertical="center" wrapText="1"/>
    </xf>
    <xf numFmtId="0" fontId="9" fillId="10" borderId="36" xfId="0" applyNumberFormat="1" applyFont="1" applyFill="1" applyBorder="1" applyAlignment="1">
      <alignment horizontal="center" vertical="center" wrapText="1"/>
    </xf>
    <xf numFmtId="0" fontId="9" fillId="10" borderId="0" xfId="0" applyNumberFormat="1" applyFont="1" applyFill="1" applyBorder="1" applyAlignment="1">
      <alignment horizontal="center" vertical="center" wrapText="1"/>
    </xf>
    <xf numFmtId="0" fontId="9" fillId="10" borderId="37" xfId="0" applyNumberFormat="1" applyFont="1" applyFill="1" applyBorder="1" applyAlignment="1">
      <alignment horizontal="center" vertical="center" wrapText="1"/>
    </xf>
    <xf numFmtId="0" fontId="9" fillId="10" borderId="38" xfId="0" applyNumberFormat="1" applyFont="1" applyFill="1" applyBorder="1" applyAlignment="1">
      <alignment horizontal="center" vertical="center" wrapText="1"/>
    </xf>
    <xf numFmtId="0" fontId="9" fillId="10" borderId="39" xfId="0" applyNumberFormat="1" applyFont="1" applyFill="1" applyBorder="1" applyAlignment="1">
      <alignment horizontal="center" vertical="center" wrapText="1"/>
    </xf>
    <xf numFmtId="0" fontId="9" fillId="10" borderId="40" xfId="0" applyNumberFormat="1" applyFont="1" applyFill="1" applyBorder="1" applyAlignment="1">
      <alignment horizontal="center" vertical="center" wrapText="1"/>
    </xf>
    <xf numFmtId="0" fontId="8" fillId="11" borderId="0" xfId="0" applyNumberFormat="1" applyFont="1" applyFill="1" applyBorder="1" applyAlignment="1">
      <alignment vertical="center"/>
    </xf>
    <xf numFmtId="0" fontId="9" fillId="5" borderId="9" xfId="0" applyNumberFormat="1" applyFont="1" applyFill="1" applyBorder="1" applyAlignment="1">
      <alignment horizontal="center" vertical="center" wrapText="1"/>
    </xf>
    <xf numFmtId="0" fontId="9" fillId="5" borderId="10" xfId="0" applyNumberFormat="1" applyFont="1" applyFill="1" applyBorder="1" applyAlignment="1">
      <alignment horizontal="center" vertical="center" wrapText="1"/>
    </xf>
    <xf numFmtId="0" fontId="9" fillId="5" borderId="11" xfId="0" applyNumberFormat="1" applyFont="1" applyFill="1" applyBorder="1" applyAlignment="1">
      <alignment horizontal="center" vertical="center" wrapText="1"/>
    </xf>
    <xf numFmtId="0" fontId="9" fillId="5" borderId="12" xfId="0" applyNumberFormat="1" applyFont="1" applyFill="1" applyBorder="1" applyAlignment="1">
      <alignment horizontal="center" vertical="center" wrapText="1"/>
    </xf>
    <xf numFmtId="0" fontId="9" fillId="5" borderId="13" xfId="0" applyNumberFormat="1" applyFont="1" applyFill="1" applyBorder="1" applyAlignment="1">
      <alignment horizontal="center" vertical="center" wrapText="1"/>
    </xf>
    <xf numFmtId="0" fontId="9" fillId="5" borderId="14" xfId="0" applyNumberFormat="1" applyFont="1" applyFill="1" applyBorder="1" applyAlignment="1">
      <alignment horizontal="center" vertical="center" wrapText="1"/>
    </xf>
    <xf numFmtId="0" fontId="9" fillId="5" borderId="15" xfId="0" applyNumberFormat="1" applyFont="1" applyFill="1" applyBorder="1" applyAlignment="1">
      <alignment horizontal="center" vertical="center" wrapText="1"/>
    </xf>
    <xf numFmtId="0" fontId="9" fillId="5" borderId="16" xfId="0" applyNumberFormat="1" applyFont="1" applyFill="1" applyBorder="1" applyAlignment="1">
      <alignment horizontal="center" vertical="center" wrapText="1"/>
    </xf>
    <xf numFmtId="0" fontId="9" fillId="8" borderId="9" xfId="0" applyNumberFormat="1" applyFont="1" applyFill="1" applyBorder="1" applyAlignment="1">
      <alignment horizontal="center" vertical="center" wrapText="1"/>
    </xf>
    <xf numFmtId="0" fontId="9" fillId="8" borderId="10" xfId="0" applyNumberFormat="1" applyFont="1" applyFill="1" applyBorder="1" applyAlignment="1">
      <alignment horizontal="center" vertical="center" wrapText="1"/>
    </xf>
    <xf numFmtId="0" fontId="9" fillId="8" borderId="11" xfId="0" applyNumberFormat="1" applyFont="1" applyFill="1" applyBorder="1" applyAlignment="1">
      <alignment horizontal="center" vertical="center" wrapText="1"/>
    </xf>
    <xf numFmtId="0" fontId="9" fillId="8" borderId="12" xfId="0" applyNumberFormat="1" applyFont="1" applyFill="1" applyBorder="1" applyAlignment="1">
      <alignment horizontal="center" vertical="center" wrapText="1"/>
    </xf>
    <xf numFmtId="0" fontId="9" fillId="8" borderId="13" xfId="0" applyNumberFormat="1" applyFont="1" applyFill="1" applyBorder="1" applyAlignment="1">
      <alignment horizontal="center" vertical="center" wrapText="1"/>
    </xf>
    <xf numFmtId="0" fontId="9" fillId="8" borderId="14" xfId="0" applyNumberFormat="1" applyFont="1" applyFill="1" applyBorder="1" applyAlignment="1">
      <alignment horizontal="center" vertical="center" wrapText="1"/>
    </xf>
    <xf numFmtId="0" fontId="9" fillId="8" borderId="15" xfId="0" applyNumberFormat="1" applyFont="1" applyFill="1" applyBorder="1" applyAlignment="1">
      <alignment horizontal="center" vertical="center" wrapText="1"/>
    </xf>
    <xf numFmtId="0" fontId="9" fillId="8" borderId="16" xfId="0" applyNumberFormat="1" applyFont="1" applyFill="1" applyBorder="1" applyAlignment="1">
      <alignment horizontal="center" vertical="center" wrapText="1"/>
    </xf>
    <xf numFmtId="0" fontId="9" fillId="9" borderId="9" xfId="0" applyNumberFormat="1" applyFont="1" applyFill="1" applyBorder="1" applyAlignment="1">
      <alignment horizontal="center" vertical="center" wrapText="1"/>
    </xf>
    <xf numFmtId="0" fontId="9" fillId="9" borderId="10" xfId="0" applyNumberFormat="1" applyFont="1" applyFill="1" applyBorder="1" applyAlignment="1">
      <alignment horizontal="center" vertical="center" wrapText="1"/>
    </xf>
    <xf numFmtId="0" fontId="9" fillId="9" borderId="11" xfId="0" applyNumberFormat="1" applyFont="1" applyFill="1" applyBorder="1" applyAlignment="1">
      <alignment horizontal="center" vertical="center" wrapText="1"/>
    </xf>
    <xf numFmtId="0" fontId="9" fillId="9" borderId="12" xfId="0" applyNumberFormat="1" applyFont="1" applyFill="1" applyBorder="1" applyAlignment="1">
      <alignment horizontal="center" vertical="center" wrapText="1"/>
    </xf>
    <xf numFmtId="0" fontId="9" fillId="9" borderId="13" xfId="0" applyNumberFormat="1" applyFont="1" applyFill="1" applyBorder="1" applyAlignment="1">
      <alignment horizontal="center" vertical="center" wrapText="1"/>
    </xf>
    <xf numFmtId="0" fontId="9" fillId="9" borderId="14" xfId="0" applyNumberFormat="1" applyFont="1" applyFill="1" applyBorder="1" applyAlignment="1">
      <alignment horizontal="center" vertical="center" wrapText="1"/>
    </xf>
    <xf numFmtId="0" fontId="9" fillId="9" borderId="15" xfId="0" applyNumberFormat="1" applyFont="1" applyFill="1" applyBorder="1" applyAlignment="1">
      <alignment horizontal="center" vertical="center" wrapText="1"/>
    </xf>
    <xf numFmtId="0" fontId="9" fillId="9" borderId="16" xfId="0" applyNumberFormat="1" applyFont="1" applyFill="1" applyBorder="1" applyAlignment="1">
      <alignment horizontal="center" vertical="center" wrapText="1"/>
    </xf>
    <xf numFmtId="0" fontId="9" fillId="10" borderId="9" xfId="0" applyNumberFormat="1" applyFont="1" applyFill="1" applyBorder="1" applyAlignment="1">
      <alignment horizontal="center" vertical="center" wrapText="1"/>
    </xf>
    <xf numFmtId="0" fontId="9" fillId="10" borderId="10" xfId="0" applyNumberFormat="1" applyFont="1" applyFill="1" applyBorder="1" applyAlignment="1">
      <alignment horizontal="center" vertical="center" wrapText="1"/>
    </xf>
    <xf numFmtId="0" fontId="9" fillId="10" borderId="11" xfId="0" applyNumberFormat="1" applyFont="1" applyFill="1" applyBorder="1" applyAlignment="1">
      <alignment horizontal="center" vertical="center" wrapText="1"/>
    </xf>
    <xf numFmtId="0" fontId="9" fillId="10" borderId="12" xfId="0" applyNumberFormat="1" applyFont="1" applyFill="1" applyBorder="1" applyAlignment="1">
      <alignment horizontal="center" vertical="center" wrapText="1"/>
    </xf>
    <xf numFmtId="0" fontId="9" fillId="10" borderId="13" xfId="0" applyNumberFormat="1" applyFont="1" applyFill="1" applyBorder="1" applyAlignment="1">
      <alignment horizontal="center" vertical="center" wrapText="1"/>
    </xf>
    <xf numFmtId="0" fontId="9" fillId="10" borderId="14" xfId="0" applyNumberFormat="1" applyFont="1" applyFill="1" applyBorder="1" applyAlignment="1">
      <alignment horizontal="center" vertical="center" wrapText="1"/>
    </xf>
    <xf numFmtId="0" fontId="9" fillId="10" borderId="15" xfId="0" applyNumberFormat="1" applyFont="1" applyFill="1" applyBorder="1" applyAlignment="1">
      <alignment horizontal="center" vertical="center" wrapText="1"/>
    </xf>
    <xf numFmtId="0" fontId="9" fillId="10" borderId="16" xfId="0" applyNumberFormat="1" applyFont="1" applyFill="1" applyBorder="1" applyAlignment="1">
      <alignment horizontal="center" vertical="center" wrapText="1"/>
    </xf>
    <xf numFmtId="0" fontId="8" fillId="4" borderId="0" xfId="0" applyNumberFormat="1" applyFont="1" applyFill="1" applyBorder="1" applyAlignment="1">
      <alignment vertical="center"/>
    </xf>
    <xf numFmtId="0" fontId="1" fillId="11" borderId="41" xfId="0" applyNumberFormat="1" applyFont="1" applyFill="1" applyBorder="1" applyAlignment="1">
      <alignment horizontal="center" vertical="center" wrapText="1"/>
    </xf>
    <xf numFmtId="0" fontId="1" fillId="11" borderId="42" xfId="0" applyNumberFormat="1" applyFont="1" applyFill="1" applyBorder="1" applyAlignment="1">
      <alignment horizontal="center" vertical="center" wrapText="1"/>
    </xf>
    <xf numFmtId="0" fontId="1" fillId="11" borderId="43" xfId="0" applyNumberFormat="1" applyFont="1" applyFill="1" applyBorder="1" applyAlignment="1">
      <alignment horizontal="center" vertical="center" wrapText="1"/>
    </xf>
    <xf numFmtId="0" fontId="10" fillId="3" borderId="9" xfId="0" applyNumberFormat="1" applyFont="1" applyFill="1" applyBorder="1" applyAlignment="1">
      <alignment vertical="center" wrapText="1"/>
    </xf>
    <xf numFmtId="0" fontId="10" fillId="3" borderId="10" xfId="0" applyNumberFormat="1" applyFont="1" applyFill="1" applyBorder="1" applyAlignment="1">
      <alignment vertical="center" wrapText="1"/>
    </xf>
    <xf numFmtId="0" fontId="11" fillId="3" borderId="10" xfId="0" applyNumberFormat="1" applyFont="1" applyFill="1" applyBorder="1" applyAlignment="1">
      <alignment vertical="center" wrapText="1"/>
    </xf>
    <xf numFmtId="0" fontId="11" fillId="3" borderId="11" xfId="0" applyNumberFormat="1" applyFont="1" applyFill="1" applyBorder="1" applyAlignment="1">
      <alignment vertical="center" wrapText="1"/>
    </xf>
    <xf numFmtId="0" fontId="10" fillId="3" borderId="12" xfId="0" applyNumberFormat="1" applyFont="1" applyFill="1" applyBorder="1" applyAlignment="1">
      <alignment vertical="center" wrapText="1"/>
    </xf>
    <xf numFmtId="0" fontId="10" fillId="3" borderId="0" xfId="0" applyNumberFormat="1" applyFont="1" applyFill="1" applyBorder="1" applyAlignment="1">
      <alignment vertical="center" wrapText="1"/>
    </xf>
    <xf numFmtId="0" fontId="11" fillId="3" borderId="0" xfId="0" applyNumberFormat="1" applyFont="1" applyFill="1" applyBorder="1" applyAlignment="1">
      <alignment vertical="center" wrapText="1"/>
    </xf>
    <xf numFmtId="0" fontId="11" fillId="3" borderId="13" xfId="0" applyNumberFormat="1" applyFont="1" applyFill="1" applyBorder="1" applyAlignment="1">
      <alignment vertical="center" wrapText="1"/>
    </xf>
    <xf numFmtId="0" fontId="10" fillId="3" borderId="14" xfId="0" applyNumberFormat="1" applyFont="1" applyFill="1" applyBorder="1" applyAlignment="1">
      <alignment vertical="center" wrapText="1"/>
    </xf>
    <xf numFmtId="0" fontId="10" fillId="3" borderId="15" xfId="0" applyNumberFormat="1" applyFont="1" applyFill="1" applyBorder="1" applyAlignment="1">
      <alignment vertical="center" wrapText="1"/>
    </xf>
    <xf numFmtId="0" fontId="11" fillId="3" borderId="15" xfId="0" applyNumberFormat="1" applyFont="1" applyFill="1" applyBorder="1" applyAlignment="1">
      <alignment vertical="center" wrapText="1"/>
    </xf>
    <xf numFmtId="0" fontId="11" fillId="3" borderId="16" xfId="0" applyNumberFormat="1" applyFont="1" applyFill="1" applyBorder="1" applyAlignment="1">
      <alignment vertical="center" wrapText="1"/>
    </xf>
    <xf numFmtId="0" fontId="11" fillId="12" borderId="44" xfId="0" applyNumberFormat="1" applyFont="1" applyFill="1" applyBorder="1" applyAlignment="1">
      <alignment vertical="center" wrapText="1"/>
    </xf>
    <xf numFmtId="0" fontId="11" fillId="12" borderId="45" xfId="0" applyNumberFormat="1" applyFont="1" applyFill="1" applyBorder="1" applyAlignment="1">
      <alignment vertical="center" wrapText="1"/>
    </xf>
    <xf numFmtId="0" fontId="11" fillId="12" borderId="46" xfId="0" applyNumberFormat="1" applyFont="1" applyFill="1" applyBorder="1" applyAlignment="1">
      <alignment vertical="center" wrapText="1"/>
    </xf>
    <xf numFmtId="0" fontId="11" fillId="12" borderId="47" xfId="0" applyNumberFormat="1" applyFont="1" applyFill="1" applyBorder="1" applyAlignment="1">
      <alignment vertical="center" wrapText="1"/>
    </xf>
    <xf numFmtId="0" fontId="11" fillId="12" borderId="0" xfId="0" applyNumberFormat="1" applyFont="1" applyFill="1" applyBorder="1" applyAlignment="1">
      <alignment vertical="center" wrapText="1"/>
    </xf>
    <xf numFmtId="0" fontId="11" fillId="12" borderId="48" xfId="0" applyNumberFormat="1" applyFont="1" applyFill="1" applyBorder="1" applyAlignment="1">
      <alignment vertical="center" wrapText="1"/>
    </xf>
    <xf numFmtId="0" fontId="11" fillId="12" borderId="49" xfId="0" applyNumberFormat="1" applyFont="1" applyFill="1" applyBorder="1" applyAlignment="1">
      <alignment vertical="center" wrapText="1"/>
    </xf>
    <xf numFmtId="0" fontId="11" fillId="12" borderId="50" xfId="0" applyNumberFormat="1" applyFont="1" applyFill="1" applyBorder="1" applyAlignment="1">
      <alignment vertical="center" wrapText="1"/>
    </xf>
    <xf numFmtId="0" fontId="11" fillId="12" borderId="51" xfId="0" applyNumberFormat="1" applyFont="1" applyFill="1" applyBorder="1" applyAlignment="1">
      <alignment vertical="center" wrapText="1"/>
    </xf>
    <xf numFmtId="0" fontId="12" fillId="2" borderId="0" xfId="0" applyNumberFormat="1" applyFont="1" applyFill="1" applyBorder="1" applyAlignment="1">
      <alignment horizontal="center" vertical="center"/>
    </xf>
    <xf numFmtId="0" fontId="13" fillId="11" borderId="0" xfId="0" applyNumberFormat="1" applyFont="1" applyFill="1" applyBorder="1" applyAlignment="1">
      <alignment vertical="center" wrapText="1"/>
    </xf>
    <xf numFmtId="0" fontId="1" fillId="11" borderId="0" xfId="0" applyNumberFormat="1" applyFont="1" applyFill="1" applyBorder="1" applyAlignment="1">
      <alignment horizontal="center" vertical="center"/>
    </xf>
    <xf numFmtId="165" fontId="14" fillId="3" borderId="9" xfId="0" applyNumberFormat="1" applyFont="1" applyFill="1" applyBorder="1" applyAlignment="1">
      <alignment horizontal="center" vertical="center" wrapText="1"/>
    </xf>
    <xf numFmtId="164" fontId="14" fillId="3" borderId="10" xfId="0" applyNumberFormat="1" applyFont="1" applyFill="1" applyBorder="1" applyAlignment="1">
      <alignment horizontal="center" vertical="center" wrapText="1"/>
    </xf>
    <xf numFmtId="164" fontId="14" fillId="3" borderId="11" xfId="0" applyNumberFormat="1" applyFont="1" applyFill="1" applyBorder="1" applyAlignment="1">
      <alignment horizontal="center" vertical="center" wrapText="1"/>
    </xf>
    <xf numFmtId="164" fontId="14" fillId="3" borderId="12" xfId="0" applyNumberFormat="1" applyFont="1" applyFill="1" applyBorder="1" applyAlignment="1">
      <alignment horizontal="center" vertical="center" wrapText="1"/>
    </xf>
    <xf numFmtId="164" fontId="14" fillId="3" borderId="0" xfId="0" applyNumberFormat="1" applyFont="1" applyFill="1" applyBorder="1" applyAlignment="1">
      <alignment horizontal="center" vertical="center" wrapText="1"/>
    </xf>
    <xf numFmtId="164" fontId="14" fillId="3" borderId="13" xfId="0" applyNumberFormat="1" applyFont="1" applyFill="1" applyBorder="1" applyAlignment="1">
      <alignment horizontal="center" vertical="center" wrapText="1"/>
    </xf>
    <xf numFmtId="164" fontId="14" fillId="3" borderId="14" xfId="0" applyNumberFormat="1" applyFont="1" applyFill="1" applyBorder="1" applyAlignment="1">
      <alignment horizontal="center" vertical="center" wrapText="1"/>
    </xf>
    <xf numFmtId="164" fontId="14" fillId="3" borderId="15" xfId="0" applyNumberFormat="1" applyFont="1" applyFill="1" applyBorder="1" applyAlignment="1">
      <alignment horizontal="center" vertical="center" wrapText="1"/>
    </xf>
    <xf numFmtId="164" fontId="14" fillId="3" borderId="16" xfId="0" applyNumberFormat="1" applyFont="1" applyFill="1" applyBorder="1" applyAlignment="1">
      <alignment horizontal="center" vertical="center" wrapText="1"/>
    </xf>
    <xf numFmtId="1" fontId="14" fillId="3" borderId="9" xfId="0" applyNumberFormat="1" applyFont="1" applyFill="1" applyBorder="1" applyAlignment="1">
      <alignment horizontal="center" vertical="center" wrapText="1"/>
    </xf>
    <xf numFmtId="166" fontId="14" fillId="3" borderId="9" xfId="0" applyNumberFormat="1" applyFont="1" applyFill="1" applyBorder="1" applyAlignment="1">
      <alignment horizontal="center" vertical="center" wrapText="1"/>
    </xf>
    <xf numFmtId="0" fontId="15" fillId="5" borderId="1" xfId="0" applyNumberFormat="1" applyFont="1" applyFill="1" applyBorder="1" applyAlignment="1">
      <alignment horizontal="center" vertical="center" wrapText="1"/>
    </xf>
    <xf numFmtId="0" fontId="15" fillId="5" borderId="2" xfId="0" applyNumberFormat="1" applyFont="1" applyFill="1" applyBorder="1" applyAlignment="1">
      <alignment horizontal="center" vertical="center" wrapText="1"/>
    </xf>
    <xf numFmtId="0" fontId="15" fillId="5" borderId="3" xfId="0" applyNumberFormat="1" applyFont="1" applyFill="1" applyBorder="1" applyAlignment="1">
      <alignment horizontal="center" vertical="center" wrapText="1"/>
    </xf>
    <xf numFmtId="0" fontId="15" fillId="5" borderId="4" xfId="0" applyNumberFormat="1" applyFont="1" applyFill="1" applyBorder="1" applyAlignment="1">
      <alignment horizontal="center" vertical="center" wrapText="1"/>
    </xf>
    <xf numFmtId="0" fontId="15" fillId="5" borderId="0" xfId="0" applyNumberFormat="1" applyFont="1" applyFill="1" applyBorder="1" applyAlignment="1">
      <alignment horizontal="center" vertical="center" wrapText="1"/>
    </xf>
    <xf numFmtId="0" fontId="15" fillId="5" borderId="5" xfId="0" applyNumberFormat="1" applyFont="1" applyFill="1" applyBorder="1" applyAlignment="1">
      <alignment horizontal="center" vertical="center" wrapText="1"/>
    </xf>
    <xf numFmtId="0" fontId="15" fillId="5" borderId="6" xfId="0" applyNumberFormat="1" applyFont="1" applyFill="1" applyBorder="1" applyAlignment="1">
      <alignment horizontal="center" vertical="center" wrapText="1"/>
    </xf>
    <xf numFmtId="0" fontId="15" fillId="5" borderId="7" xfId="0" applyNumberFormat="1" applyFont="1" applyFill="1" applyBorder="1" applyAlignment="1">
      <alignment horizontal="center" vertical="center" wrapText="1"/>
    </xf>
    <xf numFmtId="0" fontId="15" fillId="5" borderId="8" xfId="0" applyNumberFormat="1" applyFont="1" applyFill="1" applyBorder="1" applyAlignment="1">
      <alignment horizontal="center" vertical="center" wrapText="1"/>
    </xf>
    <xf numFmtId="0" fontId="15" fillId="8" borderId="17" xfId="0" applyNumberFormat="1" applyFont="1" applyFill="1" applyBorder="1" applyAlignment="1">
      <alignment vertical="center" wrapText="1"/>
    </xf>
    <xf numFmtId="0" fontId="15" fillId="8" borderId="18" xfId="0" applyNumberFormat="1" applyFont="1" applyFill="1" applyBorder="1" applyAlignment="1">
      <alignment vertical="center" wrapText="1"/>
    </xf>
    <xf numFmtId="0" fontId="15" fillId="8" borderId="19" xfId="0" applyNumberFormat="1" applyFont="1" applyFill="1" applyBorder="1" applyAlignment="1">
      <alignment vertical="center" wrapText="1"/>
    </xf>
    <xf numFmtId="0" fontId="15" fillId="8" borderId="20" xfId="0" applyNumberFormat="1" applyFont="1" applyFill="1" applyBorder="1" applyAlignment="1">
      <alignment vertical="center" wrapText="1"/>
    </xf>
    <xf numFmtId="0" fontId="15" fillId="8" borderId="0" xfId="0" applyNumberFormat="1" applyFont="1" applyFill="1" applyBorder="1" applyAlignment="1">
      <alignment vertical="center" wrapText="1"/>
    </xf>
    <xf numFmtId="0" fontId="15" fillId="8" borderId="21" xfId="0" applyNumberFormat="1" applyFont="1" applyFill="1" applyBorder="1" applyAlignment="1">
      <alignment vertical="center" wrapText="1"/>
    </xf>
    <xf numFmtId="0" fontId="15" fillId="8" borderId="22" xfId="0" applyNumberFormat="1" applyFont="1" applyFill="1" applyBorder="1" applyAlignment="1">
      <alignment vertical="center" wrapText="1"/>
    </xf>
    <xf numFmtId="0" fontId="15" fillId="8" borderId="23" xfId="0" applyNumberFormat="1" applyFont="1" applyFill="1" applyBorder="1" applyAlignment="1">
      <alignment vertical="center" wrapText="1"/>
    </xf>
    <xf numFmtId="0" fontId="15" fillId="8" borderId="24" xfId="0" applyNumberFormat="1" applyFont="1" applyFill="1" applyBorder="1" applyAlignment="1">
      <alignment vertical="center" wrapText="1"/>
    </xf>
    <xf numFmtId="0" fontId="16" fillId="6" borderId="9" xfId="0" applyNumberFormat="1" applyFont="1" applyFill="1" applyBorder="1" applyAlignment="1">
      <alignment horizontal="center" vertical="center" wrapText="1"/>
    </xf>
    <xf numFmtId="0" fontId="16" fillId="6" borderId="10" xfId="0" applyNumberFormat="1" applyFont="1" applyFill="1" applyBorder="1" applyAlignment="1">
      <alignment horizontal="center" vertical="center" wrapText="1"/>
    </xf>
    <xf numFmtId="0" fontId="16" fillId="6" borderId="11" xfId="0" applyNumberFormat="1" applyFont="1" applyFill="1" applyBorder="1" applyAlignment="1">
      <alignment horizontal="center" vertical="center" wrapText="1"/>
    </xf>
    <xf numFmtId="0" fontId="16" fillId="6" borderId="12" xfId="0" applyNumberFormat="1" applyFont="1" applyFill="1" applyBorder="1" applyAlignment="1">
      <alignment horizontal="center" vertical="center" wrapText="1"/>
    </xf>
    <xf numFmtId="0" fontId="16" fillId="6" borderId="0" xfId="0" applyNumberFormat="1" applyFont="1" applyFill="1" applyBorder="1" applyAlignment="1">
      <alignment horizontal="center" vertical="center" wrapText="1"/>
    </xf>
    <xf numFmtId="0" fontId="16" fillId="6" borderId="13" xfId="0" applyNumberFormat="1" applyFont="1" applyFill="1" applyBorder="1" applyAlignment="1">
      <alignment horizontal="center" vertical="center" wrapText="1"/>
    </xf>
    <xf numFmtId="0" fontId="16" fillId="6" borderId="14" xfId="0" applyNumberFormat="1" applyFont="1" applyFill="1" applyBorder="1" applyAlignment="1">
      <alignment horizontal="center" vertical="center" wrapText="1"/>
    </xf>
    <xf numFmtId="0" fontId="16" fillId="6" borderId="15" xfId="0" applyNumberFormat="1" applyFont="1" applyFill="1" applyBorder="1" applyAlignment="1">
      <alignment horizontal="center" vertical="center" wrapText="1"/>
    </xf>
    <xf numFmtId="0" fontId="16" fillId="6" borderId="16" xfId="0" applyNumberFormat="1" applyFont="1" applyFill="1" applyBorder="1" applyAlignment="1">
      <alignment horizontal="center" vertical="center" wrapText="1"/>
    </xf>
    <xf numFmtId="0" fontId="17" fillId="5" borderId="1" xfId="0" applyNumberFormat="1" applyFont="1" applyFill="1" applyBorder="1" applyAlignment="1">
      <alignment vertical="center" wrapText="1"/>
    </xf>
    <xf numFmtId="0" fontId="17" fillId="5" borderId="2" xfId="0" applyNumberFormat="1" applyFont="1" applyFill="1" applyBorder="1" applyAlignment="1">
      <alignment vertical="center" wrapText="1"/>
    </xf>
    <xf numFmtId="0" fontId="17" fillId="5" borderId="3" xfId="0" applyNumberFormat="1" applyFont="1" applyFill="1" applyBorder="1" applyAlignment="1">
      <alignment vertical="center" wrapText="1"/>
    </xf>
    <xf numFmtId="0" fontId="17" fillId="5" borderId="4" xfId="0" applyNumberFormat="1" applyFont="1" applyFill="1" applyBorder="1" applyAlignment="1">
      <alignment vertical="center" wrapText="1"/>
    </xf>
    <xf numFmtId="0" fontId="17" fillId="5" borderId="0" xfId="0" applyNumberFormat="1" applyFont="1" applyFill="1" applyBorder="1" applyAlignment="1">
      <alignment vertical="center" wrapText="1"/>
    </xf>
    <xf numFmtId="0" fontId="17" fillId="5" borderId="5" xfId="0" applyNumberFormat="1" applyFont="1" applyFill="1" applyBorder="1" applyAlignment="1">
      <alignment vertical="center" wrapText="1"/>
    </xf>
    <xf numFmtId="0" fontId="17" fillId="5" borderId="6" xfId="0" applyNumberFormat="1" applyFont="1" applyFill="1" applyBorder="1" applyAlignment="1">
      <alignment vertical="center" wrapText="1"/>
    </xf>
    <xf numFmtId="0" fontId="17" fillId="5" borderId="7" xfId="0" applyNumberFormat="1" applyFont="1" applyFill="1" applyBorder="1" applyAlignment="1">
      <alignment vertical="center" wrapText="1"/>
    </xf>
    <xf numFmtId="0" fontId="17" fillId="5" borderId="8" xfId="0" applyNumberFormat="1" applyFont="1" applyFill="1" applyBorder="1" applyAlignment="1">
      <alignment vertical="center" wrapText="1"/>
    </xf>
    <xf numFmtId="0" fontId="8" fillId="14" borderId="0" xfId="0" applyNumberFormat="1" applyFont="1" applyFill="1" applyBorder="1" applyAlignment="1">
      <alignment vertical="center"/>
    </xf>
    <xf numFmtId="0" fontId="1" fillId="4" borderId="42" xfId="0" applyNumberFormat="1" applyFont="1" applyFill="1" applyBorder="1" applyAlignment="1">
      <alignment horizontal="center" vertical="center" wrapText="1"/>
    </xf>
    <xf numFmtId="0" fontId="1" fillId="4" borderId="43" xfId="0" applyNumberFormat="1" applyFont="1" applyFill="1" applyBorder="1" applyAlignment="1">
      <alignment horizontal="center" vertical="center" wrapText="1"/>
    </xf>
    <xf numFmtId="0" fontId="11" fillId="13" borderId="10" xfId="0" applyNumberFormat="1" applyFont="1" applyFill="1" applyBorder="1" applyAlignment="1">
      <alignment vertical="center" wrapText="1"/>
    </xf>
    <xf numFmtId="0" fontId="11" fillId="13" borderId="11" xfId="0" applyNumberFormat="1" applyFont="1" applyFill="1" applyBorder="1" applyAlignment="1">
      <alignment vertical="center" wrapText="1"/>
    </xf>
    <xf numFmtId="0" fontId="11" fillId="13" borderId="0" xfId="0" applyNumberFormat="1" applyFont="1" applyFill="1" applyBorder="1" applyAlignment="1">
      <alignment vertical="center" wrapText="1"/>
    </xf>
    <xf numFmtId="0" fontId="11" fillId="13" borderId="13" xfId="0" applyNumberFormat="1" applyFont="1" applyFill="1" applyBorder="1" applyAlignment="1">
      <alignment vertical="center" wrapText="1"/>
    </xf>
    <xf numFmtId="0" fontId="11" fillId="13" borderId="15" xfId="0" applyNumberFormat="1" applyFont="1" applyFill="1" applyBorder="1" applyAlignment="1">
      <alignment vertical="center" wrapText="1"/>
    </xf>
    <xf numFmtId="0" fontId="11" fillId="13" borderId="16" xfId="0" applyNumberFormat="1" applyFont="1" applyFill="1" applyBorder="1" applyAlignment="1">
      <alignment vertical="center" wrapText="1"/>
    </xf>
    <xf numFmtId="165" fontId="14" fillId="3" borderId="10" xfId="0" applyNumberFormat="1" applyFont="1" applyFill="1" applyBorder="1" applyAlignment="1">
      <alignment horizontal="center" vertical="center" wrapText="1"/>
    </xf>
    <xf numFmtId="165" fontId="14" fillId="3" borderId="11" xfId="0" applyNumberFormat="1" applyFont="1" applyFill="1" applyBorder="1" applyAlignment="1">
      <alignment horizontal="center" vertical="center" wrapText="1"/>
    </xf>
    <xf numFmtId="165" fontId="14" fillId="3" borderId="12" xfId="0" applyNumberFormat="1" applyFont="1" applyFill="1" applyBorder="1" applyAlignment="1">
      <alignment horizontal="center" vertical="center" wrapText="1"/>
    </xf>
    <xf numFmtId="165" fontId="14" fillId="3" borderId="0" xfId="0" applyNumberFormat="1" applyFont="1" applyFill="1" applyBorder="1" applyAlignment="1">
      <alignment horizontal="center" vertical="center" wrapText="1"/>
    </xf>
    <xf numFmtId="165" fontId="14" fillId="3" borderId="13" xfId="0" applyNumberFormat="1" applyFont="1" applyFill="1" applyBorder="1" applyAlignment="1">
      <alignment horizontal="center" vertical="center" wrapText="1"/>
    </xf>
    <xf numFmtId="165" fontId="14" fillId="3" borderId="14" xfId="0" applyNumberFormat="1" applyFont="1" applyFill="1" applyBorder="1" applyAlignment="1">
      <alignment horizontal="center" vertical="center" wrapText="1"/>
    </xf>
    <xf numFmtId="165" fontId="14" fillId="3" borderId="15" xfId="0" applyNumberFormat="1" applyFont="1" applyFill="1" applyBorder="1" applyAlignment="1">
      <alignment horizontal="center" vertical="center" wrapText="1"/>
    </xf>
    <xf numFmtId="165" fontId="14" fillId="3" borderId="16" xfId="0" applyNumberFormat="1" applyFont="1" applyFill="1" applyBorder="1" applyAlignment="1">
      <alignment horizontal="center" vertical="center" wrapText="1"/>
    </xf>
    <xf numFmtId="166" fontId="14" fillId="3" borderId="10" xfId="0" applyNumberFormat="1" applyFont="1" applyFill="1" applyBorder="1" applyAlignment="1">
      <alignment horizontal="center" vertical="center" wrapText="1"/>
    </xf>
    <xf numFmtId="166" fontId="14" fillId="3" borderId="11" xfId="0" applyNumberFormat="1" applyFont="1" applyFill="1" applyBorder="1" applyAlignment="1">
      <alignment horizontal="center" vertical="center" wrapText="1"/>
    </xf>
    <xf numFmtId="166" fontId="14" fillId="3" borderId="12" xfId="0" applyNumberFormat="1" applyFont="1" applyFill="1" applyBorder="1" applyAlignment="1">
      <alignment horizontal="center" vertical="center" wrapText="1"/>
    </xf>
    <xf numFmtId="166" fontId="14" fillId="3" borderId="0" xfId="0" applyNumberFormat="1" applyFont="1" applyFill="1" applyBorder="1" applyAlignment="1">
      <alignment horizontal="center" vertical="center" wrapText="1"/>
    </xf>
    <xf numFmtId="166" fontId="14" fillId="3" borderId="13" xfId="0" applyNumberFormat="1" applyFont="1" applyFill="1" applyBorder="1" applyAlignment="1">
      <alignment horizontal="center" vertical="center" wrapText="1"/>
    </xf>
    <xf numFmtId="166" fontId="14" fillId="3" borderId="14" xfId="0" applyNumberFormat="1" applyFont="1" applyFill="1" applyBorder="1" applyAlignment="1">
      <alignment horizontal="center" vertical="center" wrapText="1"/>
    </xf>
    <xf numFmtId="166" fontId="14" fillId="3" borderId="15" xfId="0" applyNumberFormat="1" applyFont="1" applyFill="1" applyBorder="1" applyAlignment="1">
      <alignment horizontal="center" vertical="center" wrapText="1"/>
    </xf>
    <xf numFmtId="166" fontId="14" fillId="3" borderId="16" xfId="0" applyNumberFormat="1" applyFont="1" applyFill="1" applyBorder="1" applyAlignment="1">
      <alignment horizontal="center" vertical="center" wrapText="1"/>
    </xf>
    <xf numFmtId="0" fontId="18" fillId="8" borderId="0" xfId="0" applyNumberFormat="1" applyFont="1" applyFill="1" applyBorder="1" applyAlignment="1">
      <alignment horizontal="center" vertical="center" wrapText="1"/>
    </xf>
    <xf numFmtId="0" fontId="8" fillId="15" borderId="0" xfId="0" applyNumberFormat="1" applyFont="1" applyFill="1" applyBorder="1" applyAlignment="1">
      <alignment vertical="center"/>
    </xf>
    <xf numFmtId="0" fontId="18" fillId="12" borderId="44" xfId="0" applyNumberFormat="1" applyFont="1" applyFill="1" applyBorder="1" applyAlignment="1">
      <alignment vertical="center" wrapText="1"/>
    </xf>
    <xf numFmtId="0" fontId="18" fillId="12" borderId="45" xfId="0" applyNumberFormat="1" applyFont="1" applyFill="1" applyBorder="1" applyAlignment="1">
      <alignment vertical="center" wrapText="1"/>
    </xf>
    <xf numFmtId="0" fontId="18" fillId="12" borderId="46" xfId="0" applyNumberFormat="1" applyFont="1" applyFill="1" applyBorder="1" applyAlignment="1">
      <alignment vertical="center" wrapText="1"/>
    </xf>
    <xf numFmtId="0" fontId="18" fillId="12" borderId="47" xfId="0" applyNumberFormat="1" applyFont="1" applyFill="1" applyBorder="1" applyAlignment="1">
      <alignment vertical="center" wrapText="1"/>
    </xf>
    <xf numFmtId="0" fontId="18" fillId="12" borderId="0" xfId="0" applyNumberFormat="1" applyFont="1" applyFill="1" applyBorder="1" applyAlignment="1">
      <alignment vertical="center" wrapText="1"/>
    </xf>
    <xf numFmtId="0" fontId="18" fillId="12" borderId="48" xfId="0" applyNumberFormat="1" applyFont="1" applyFill="1" applyBorder="1" applyAlignment="1">
      <alignment vertical="center" wrapText="1"/>
    </xf>
    <xf numFmtId="0" fontId="18" fillId="12" borderId="49" xfId="0" applyNumberFormat="1" applyFont="1" applyFill="1" applyBorder="1" applyAlignment="1">
      <alignment vertical="center" wrapText="1"/>
    </xf>
    <xf numFmtId="0" fontId="18" fillId="12" borderId="50" xfId="0" applyNumberFormat="1" applyFont="1" applyFill="1" applyBorder="1" applyAlignment="1">
      <alignment vertical="center" wrapText="1"/>
    </xf>
    <xf numFmtId="0" fontId="18" fillId="12" borderId="51" xfId="0" applyNumberFormat="1" applyFont="1" applyFill="1" applyBorder="1" applyAlignment="1">
      <alignment vertical="center" wrapText="1"/>
    </xf>
    <xf numFmtId="0" fontId="5" fillId="16" borderId="0" xfId="0" applyNumberFormat="1" applyFont="1" applyFill="1" applyBorder="1" applyAlignment="1">
      <alignment horizontal="center" vertical="center" wrapText="1"/>
    </xf>
  </cellXfs>
  <cellStyles count="1">
    <cellStyle name="Normal" xfId="0" builtinId="0"/>
  </cellStyles>
  <dxfs count="8">
    <dxf>
      <font>
        <b/>
        <color rgb="FF705E9B"/>
      </font>
      <fill>
        <patternFill patternType="solid">
          <bgColor rgb="FFECE8F4"/>
        </patternFill>
      </fill>
    </dxf>
    <dxf>
      <font>
        <b/>
        <color rgb="FF3D8064"/>
      </font>
      <fill>
        <patternFill patternType="solid">
          <bgColor rgb="FFE1EFE7"/>
        </patternFill>
      </fill>
    </dxf>
    <dxf>
      <font>
        <b/>
        <color rgb="FFD6A43C"/>
      </font>
      <fill>
        <patternFill patternType="solid">
          <bgColor rgb="FFF7EDCF"/>
        </patternFill>
      </fill>
    </dxf>
    <dxf>
      <font>
        <b/>
        <color rgb="FFB84A4A"/>
      </font>
      <fill>
        <patternFill patternType="solid">
          <bgColor rgb="FFF5DFDE"/>
        </patternFill>
      </fill>
    </dxf>
    <dxf>
      <font>
        <b/>
        <color rgb="FFD6A43C"/>
      </font>
      <fill>
        <patternFill patternType="solid">
          <bgColor rgb="FFF7EDCF"/>
        </patternFill>
      </fill>
    </dxf>
    <dxf>
      <font>
        <b/>
        <color rgb="FF3D8064"/>
      </font>
      <fill>
        <patternFill patternType="solid">
          <bgColor rgb="FFE1EFE7"/>
        </patternFill>
      </fill>
    </dxf>
    <dxf>
      <font>
        <b/>
        <color rgb="FFD6A43C"/>
      </font>
      <fill>
        <patternFill patternType="solid">
          <bgColor rgb="FFF7EDCF"/>
        </patternFill>
      </fill>
    </dxf>
    <dxf>
      <font>
        <b/>
        <color rgb="FF3D8064"/>
      </font>
      <fill>
        <patternFill patternType="solid">
          <bgColor rgb="FFE1EF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Monthly Revenue and EBITDA — Actuals and Rolling Forecast</a:t>
            </a:r>
          </a:p>
        </c:rich>
      </c:tx>
      <c:layout/>
      <c:overlay val="0"/>
    </c:title>
    <c:autoTitleDeleted val="0"/>
    <c:plotArea>
      <c:layout/>
      <c:lineChart>
        <c:grouping val="standard"/>
        <c:varyColors val="1"/>
        <c:ser>
          <c:idx val="0"/>
          <c:order val="0"/>
          <c:tx>
            <c:v>Revenue</c:v>
          </c:tx>
          <c:cat>
            <c:numRef>
              <c:f>'05_Executive_Control_Tower'!$U$13:$U$39</c:f>
              <c:numCache>
                <c:formatCode>mmm\-yy</c:formatCode>
                <c:ptCount val="27"/>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numCache>
            </c:numRef>
          </c:cat>
          <c:val>
            <c:numRef>
              <c:f>'05_Executive_Control_Tower'!$V$13:$V$39</c:f>
              <c:numCache>
                <c:formatCode>\$0.0" m"</c:formatCode>
                <c:ptCount val="27"/>
                <c:pt idx="0">
                  <c:v>623.8934099999999</c:v>
                </c:pt>
                <c:pt idx="1">
                  <c:v>637.4816838700001</c:v>
                </c:pt>
                <c:pt idx="2">
                  <c:v>665.98982765709002</c:v>
                </c:pt>
                <c:pt idx="3">
                  <c:v>522.28652745068962</c:v>
                </c:pt>
                <c:pt idx="4">
                  <c:v>539.93144938284445</c:v>
                </c:pt>
                <c:pt idx="5">
                  <c:v>620.73253962852436</c:v>
                </c:pt>
                <c:pt idx="6">
                  <c:v>716.23222440592394</c:v>
                </c:pt>
                <c:pt idx="7">
                  <c:v>727.42080997676544</c:v>
                </c:pt>
                <c:pt idx="8">
                  <c:v>729.47480264660271</c:v>
                </c:pt>
                <c:pt idx="9">
                  <c:v>723.47970876512909</c:v>
                </c:pt>
                <c:pt idx="10">
                  <c:v>696.8785347264851</c:v>
                </c:pt>
                <c:pt idx="11">
                  <c:v>650.71178696957031</c:v>
                </c:pt>
                <c:pt idx="12">
                  <c:v>673.50032636334254</c:v>
                </c:pt>
                <c:pt idx="13">
                  <c:v>688.26646946421261</c:v>
                </c:pt>
                <c:pt idx="14">
                  <c:v>719.30817186547029</c:v>
                </c:pt>
                <c:pt idx="15">
                  <c:v>690.44690298929982</c:v>
                </c:pt>
                <c:pt idx="16">
                  <c:v>715.20103142732341</c:v>
                </c:pt>
                <c:pt idx="17">
                  <c:v>746.50829334176933</c:v>
                </c:pt>
                <c:pt idx="18">
                  <c:v>774.2545195866453</c:v>
                </c:pt>
                <c:pt idx="19">
                  <c:v>786.41311314892505</c:v>
                </c:pt>
                <c:pt idx="20">
                  <c:v>788.51601562974531</c:v>
                </c:pt>
                <c:pt idx="21">
                  <c:v>781.7341755656131</c:v>
                </c:pt>
                <c:pt idx="22">
                  <c:v>752.79150042962351</c:v>
                </c:pt>
                <c:pt idx="23">
                  <c:v>703.11270303269021</c:v>
                </c:pt>
                <c:pt idx="24">
                  <c:v>725.19489930840757</c:v>
                </c:pt>
                <c:pt idx="25">
                  <c:v>741.14134549258335</c:v>
                </c:pt>
                <c:pt idx="26">
                  <c:v>774.75956709833645</c:v>
                </c:pt>
              </c:numCache>
            </c:numRef>
          </c:val>
          <c:smooth val="0"/>
          <c:extLst>
            <c:ext xmlns:c16="http://schemas.microsoft.com/office/drawing/2014/chart" uri="{C3380CC4-5D6E-409C-BE32-E72D297353CC}">
              <c16:uniqueId val="{00000000-4FB5-42FF-8321-7091FB8A0320}"/>
            </c:ext>
          </c:extLst>
        </c:ser>
        <c:ser>
          <c:idx val="1"/>
          <c:order val="1"/>
          <c:tx>
            <c:v>EBITDA</c:v>
          </c:tx>
          <c:cat>
            <c:numRef>
              <c:f>'05_Executive_Control_Tower'!$U$13:$U$39</c:f>
              <c:numCache>
                <c:formatCode>mmm\-yy</c:formatCode>
                <c:ptCount val="27"/>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numCache>
            </c:numRef>
          </c:cat>
          <c:val>
            <c:numRef>
              <c:f>'05_Executive_Control_Tower'!$W$13:$W$39</c:f>
              <c:numCache>
                <c:formatCode>\$0.0" m"</c:formatCode>
                <c:ptCount val="27"/>
                <c:pt idx="0">
                  <c:v>102.9329280566667</c:v>
                </c:pt>
                <c:pt idx="1">
                  <c:v>106.69067213881249</c:v>
                </c:pt>
                <c:pt idx="2">
                  <c:v>114.60824755622457</c:v>
                </c:pt>
                <c:pt idx="3">
                  <c:v>74.502960055609151</c:v>
                </c:pt>
                <c:pt idx="4">
                  <c:v>79.395278069856204</c:v>
                </c:pt>
                <c:pt idx="5">
                  <c:v>101.89011456460275</c:v>
                </c:pt>
                <c:pt idx="6">
                  <c:v>128.47317830972452</c:v>
                </c:pt>
                <c:pt idx="7">
                  <c:v>131.55434326672832</c:v>
                </c:pt>
                <c:pt idx="8">
                  <c:v>132.08976462750843</c:v>
                </c:pt>
                <c:pt idx="9">
                  <c:v>130.38318349292831</c:v>
                </c:pt>
                <c:pt idx="10">
                  <c:v>122.93884006927658</c:v>
                </c:pt>
                <c:pt idx="11">
                  <c:v>110.04952670857347</c:v>
                </c:pt>
                <c:pt idx="12">
                  <c:v>97.207595668263025</c:v>
                </c:pt>
                <c:pt idx="13">
                  <c:v>100.96766001596188</c:v>
                </c:pt>
                <c:pt idx="14">
                  <c:v>108.86573008498658</c:v>
                </c:pt>
                <c:pt idx="15">
                  <c:v>101.53454444032388</c:v>
                </c:pt>
                <c:pt idx="16">
                  <c:v>107.83452057373029</c:v>
                </c:pt>
                <c:pt idx="17">
                  <c:v>115.80110511955502</c:v>
                </c:pt>
                <c:pt idx="18">
                  <c:v>122.86276206478556</c:v>
                </c:pt>
                <c:pt idx="19">
                  <c:v>125.96130726200352</c:v>
                </c:pt>
                <c:pt idx="20">
                  <c:v>126.50301659346871</c:v>
                </c:pt>
                <c:pt idx="21">
                  <c:v>124.78538842289015</c:v>
                </c:pt>
                <c:pt idx="22">
                  <c:v>117.43203430514734</c:v>
                </c:pt>
                <c:pt idx="23">
                  <c:v>104.80469595990223</c:v>
                </c:pt>
                <c:pt idx="24">
                  <c:v>101.82300121820822</c:v>
                </c:pt>
                <c:pt idx="25">
                  <c:v>105.77372062884228</c:v>
                </c:pt>
                <c:pt idx="26">
                  <c:v>114.08208829390628</c:v>
                </c:pt>
              </c:numCache>
            </c:numRef>
          </c:val>
          <c:smooth val="0"/>
          <c:extLst>
            <c:ext xmlns:c16="http://schemas.microsoft.com/office/drawing/2014/chart" uri="{C3380CC4-5D6E-409C-BE32-E72D297353CC}">
              <c16:uniqueId val="{00000001-4FB5-42FF-8321-7091FB8A0320}"/>
            </c:ext>
          </c:extLst>
        </c:ser>
        <c:dLbls>
          <c:showLegendKey val="0"/>
          <c:showVal val="0"/>
          <c:showCatName val="0"/>
          <c:showSerName val="0"/>
          <c:showPercent val="0"/>
          <c:showBubbleSize val="0"/>
        </c:dLbls>
        <c:marker val="1"/>
        <c:smooth val="0"/>
        <c:axId val="48650112"/>
        <c:axId val="48672768"/>
      </c:lineChart>
      <c:dateAx>
        <c:axId val="48650112"/>
        <c:scaling>
          <c:orientation val="minMax"/>
        </c:scaling>
        <c:delete val="0"/>
        <c:axPos val="b"/>
        <c:majorGridlines>
          <c:spPr>
            <a:ln w="9525">
              <a:solidFill>
                <a:srgbClr val="CCCCCC"/>
              </a:solidFill>
              <a:prstDash val="dash"/>
            </a:ln>
          </c:spPr>
        </c:majorGridlines>
        <c:numFmt formatCode="mmm\-yy" sourceLinked="0"/>
        <c:majorTickMark val="none"/>
        <c:minorTickMark val="none"/>
        <c:tickLblPos val="nextTo"/>
        <c:txPr>
          <a:bodyPr rot="-2700000" anchorCtr="1"/>
          <a:lstStyle/>
          <a:p>
            <a:pPr>
              <a:defRPr/>
            </a:pPr>
            <a:endParaRPr lang="en-US"/>
          </a:p>
        </c:txPr>
        <c:crossAx val="48672768"/>
        <c:crosses val="autoZero"/>
        <c:auto val="1"/>
        <c:lblOffset val="100"/>
        <c:baseTimeUnit val="months"/>
      </c:dateAx>
      <c:valAx>
        <c:axId val="48672768"/>
        <c:scaling>
          <c:orientation val="minMax"/>
        </c:scaling>
        <c:delete val="0"/>
        <c:axPos val="l"/>
        <c:majorGridlines>
          <c:spPr>
            <a:ln w="9525">
              <a:solidFill>
                <a:srgbClr val="CCCCCC"/>
              </a:solidFill>
              <a:prstDash val="dash"/>
            </a:ln>
          </c:spPr>
        </c:majorGridlines>
        <c:numFmt formatCode="\$0.0&quot; m&quot;" sourceLinked="1"/>
        <c:majorTickMark val="none"/>
        <c:minorTickMark val="none"/>
        <c:tickLblPos val="nextTo"/>
        <c:crossAx val="48650112"/>
        <c:crosses val="autoZero"/>
        <c:crossBetween val="between"/>
      </c:valAx>
    </c:plotArea>
    <c:legend>
      <c:legendPos val="b"/>
      <c:layout/>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FY2020 Revenue Variance Drivers</a:t>
            </a:r>
          </a:p>
        </c:rich>
      </c:tx>
      <c:layout/>
      <c:overlay val="0"/>
    </c:title>
    <c:autoTitleDeleted val="0"/>
    <c:plotArea>
      <c:layout/>
      <c:barChart>
        <c:barDir val="col"/>
        <c:grouping val="clustered"/>
        <c:varyColors val="0"/>
        <c:ser>
          <c:idx val="0"/>
          <c:order val="0"/>
          <c:tx>
            <c:v>Variance</c:v>
          </c:tx>
          <c:invertIfNegative val="1"/>
          <c:cat>
            <c:strRef>
              <c:f>'05_Executive_Control_Tower'!$U$43:$U$49</c:f>
              <c:strCache>
                <c:ptCount val="7"/>
                <c:pt idx="0">
                  <c:v>Commercial volume</c:v>
                </c:pt>
                <c:pt idx="1">
                  <c:v>Residential recovery</c:v>
                </c:pt>
                <c:pt idx="2">
                  <c:v>Controls timing</c:v>
                </c:pt>
                <c:pt idx="3">
                  <c:v>Service resilience</c:v>
                </c:pt>
                <c:pt idx="4">
                  <c:v>Price and mix</c:v>
                </c:pt>
                <c:pt idx="5">
                  <c:v>Foreign exchange</c:v>
                </c:pt>
                <c:pt idx="6">
                  <c:v>Supply constraints</c:v>
                </c:pt>
              </c:strCache>
            </c:strRef>
          </c:cat>
          <c:val>
            <c:numRef>
              <c:f>'05_Executive_Control_Tower'!$V$43:$V$49</c:f>
              <c:numCache>
                <c:formatCode>General</c:formatCode>
                <c:ptCount val="7"/>
                <c:pt idx="0">
                  <c:v>-310</c:v>
                </c:pt>
                <c:pt idx="1">
                  <c:v>80</c:v>
                </c:pt>
                <c:pt idx="2">
                  <c:v>-90</c:v>
                </c:pt>
                <c:pt idx="3">
                  <c:v>95</c:v>
                </c:pt>
                <c:pt idx="4">
                  <c:v>45</c:v>
                </c:pt>
                <c:pt idx="5">
                  <c:v>-70</c:v>
                </c:pt>
                <c:pt idx="6">
                  <c:v>-95</c:v>
                </c:pt>
              </c:numCache>
            </c:numRef>
          </c:val>
          <c:extLst>
            <c:ext xmlns:c16="http://schemas.microsoft.com/office/drawing/2014/chart" uri="{C3380CC4-5D6E-409C-BE32-E72D297353CC}">
              <c16:uniqueId val="{00000000-6FC7-4CCC-B6A8-DDBEB17C6125}"/>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0</xdr:colOff>
      <xdr:row>12</xdr:row>
      <xdr:rowOff>0</xdr:rowOff>
    </xdr:from>
    <xdr:to>
      <xdr:col>20</xdr:col>
      <xdr:colOff>0</xdr:colOff>
      <xdr:row>31</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32</xdr:row>
      <xdr:rowOff>0</xdr:rowOff>
    </xdr:from>
    <xdr:to>
      <xdr:col>20</xdr:col>
      <xdr:colOff>0</xdr:colOff>
      <xdr:row>48</xdr:row>
      <xdr:rowOff>0</xdr:rowOff>
    </xdr:to>
    <xdr:graphicFrame macro="">
      <xdr:nvGraphicFramePr>
        <xdr:cNvPr id="3"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0"/>
  <sheetViews>
    <sheetView workbookViewId="0">
      <selection activeCell="A6" sqref="A6:F18"/>
    </sheetView>
  </sheetViews>
  <sheetFormatPr defaultRowHeight="14"/>
  <cols>
    <col min="1" max="18" width="11.5" customWidth="1"/>
  </cols>
  <sheetData>
    <row r="1" spans="1:30" ht="14.65" customHeight="1">
      <c r="A1" s="103" t="s">
        <v>0</v>
      </c>
      <c r="B1" s="103"/>
      <c r="C1" s="103"/>
      <c r="D1" s="103"/>
      <c r="E1" s="103"/>
      <c r="F1" s="103"/>
      <c r="G1" s="103"/>
      <c r="H1" s="104" t="s">
        <v>1</v>
      </c>
      <c r="I1" s="104"/>
      <c r="J1" s="104"/>
      <c r="K1" s="104"/>
      <c r="L1" s="104"/>
      <c r="M1" s="104"/>
      <c r="N1" s="104"/>
      <c r="O1" s="104"/>
      <c r="P1" s="104"/>
      <c r="Q1" s="104"/>
      <c r="R1" s="104"/>
      <c r="S1" s="4"/>
      <c r="T1" s="4"/>
      <c r="U1" s="4"/>
      <c r="V1" s="4"/>
      <c r="W1" s="4"/>
      <c r="X1" s="4"/>
      <c r="Y1" s="4"/>
      <c r="Z1" s="4"/>
      <c r="AA1" s="4"/>
      <c r="AB1" s="4"/>
      <c r="AC1" s="4"/>
      <c r="AD1" s="4"/>
    </row>
    <row r="2" spans="1:30" ht="25.4" customHeight="1">
      <c r="A2" s="105" t="s">
        <v>2</v>
      </c>
      <c r="B2" s="105"/>
      <c r="C2" s="105"/>
      <c r="D2" s="105"/>
      <c r="E2" s="105"/>
      <c r="F2" s="105"/>
      <c r="G2" s="105"/>
      <c r="H2" s="105"/>
      <c r="I2" s="105"/>
      <c r="J2" s="105"/>
      <c r="K2" s="105"/>
      <c r="L2" s="105"/>
      <c r="M2" s="105"/>
      <c r="N2" s="105"/>
      <c r="O2" s="105"/>
      <c r="P2" s="105"/>
      <c r="Q2" s="105"/>
      <c r="R2" s="105"/>
      <c r="S2" s="4"/>
      <c r="T2" s="4"/>
      <c r="U2" s="4"/>
      <c r="V2" s="4"/>
      <c r="W2" s="4"/>
      <c r="X2" s="4"/>
      <c r="Y2" s="4"/>
      <c r="Z2" s="4"/>
      <c r="AA2" s="4"/>
      <c r="AB2" s="4"/>
      <c r="AC2" s="4"/>
      <c r="AD2" s="4"/>
    </row>
    <row r="3" spans="1:30" ht="14.65" customHeight="1">
      <c r="A3" s="106" t="s">
        <v>3</v>
      </c>
      <c r="B3" s="106"/>
      <c r="C3" s="106"/>
      <c r="D3" s="106"/>
      <c r="E3" s="106"/>
      <c r="F3" s="106"/>
      <c r="G3" s="106"/>
      <c r="H3" s="106"/>
      <c r="I3" s="106"/>
      <c r="J3" s="106"/>
      <c r="K3" s="106"/>
      <c r="L3" s="106"/>
      <c r="M3" s="106"/>
      <c r="N3" s="106"/>
      <c r="O3" s="106"/>
      <c r="P3" s="106"/>
      <c r="Q3" s="106"/>
      <c r="R3" s="106"/>
      <c r="S3" s="4"/>
      <c r="T3" s="4"/>
      <c r="U3" s="4"/>
      <c r="V3" s="4"/>
      <c r="W3" s="4"/>
      <c r="X3" s="4"/>
      <c r="Y3" s="4"/>
      <c r="Z3" s="4"/>
      <c r="AA3" s="4"/>
      <c r="AB3" s="4"/>
      <c r="AC3" s="4"/>
      <c r="AD3" s="4"/>
    </row>
    <row r="4" spans="1:30" ht="3.4" customHeight="1">
      <c r="A4" s="5"/>
      <c r="B4" s="5"/>
      <c r="C4" s="5"/>
      <c r="D4" s="5"/>
      <c r="E4" s="5"/>
      <c r="F4" s="5"/>
      <c r="G4" s="5"/>
      <c r="H4" s="5"/>
      <c r="I4" s="5"/>
      <c r="J4" s="5"/>
      <c r="K4" s="5"/>
      <c r="L4" s="5"/>
      <c r="M4" s="5"/>
      <c r="N4" s="5"/>
      <c r="O4" s="5"/>
      <c r="P4" s="5"/>
      <c r="Q4" s="5"/>
      <c r="R4" s="5"/>
      <c r="S4" s="4"/>
      <c r="T4" s="4"/>
      <c r="U4" s="4"/>
      <c r="V4" s="4"/>
      <c r="W4" s="4"/>
      <c r="X4" s="4"/>
      <c r="Y4" s="4"/>
      <c r="Z4" s="4"/>
      <c r="AA4" s="4"/>
      <c r="AB4" s="4"/>
      <c r="AC4" s="4"/>
      <c r="AD4" s="4"/>
    </row>
    <row r="5" spans="1:30">
      <c r="A5" s="4"/>
      <c r="B5" s="4"/>
      <c r="C5" s="4"/>
      <c r="D5" s="4"/>
      <c r="E5" s="4"/>
      <c r="F5" s="4"/>
      <c r="G5" s="4"/>
      <c r="H5" s="4"/>
      <c r="I5" s="4"/>
      <c r="J5" s="4"/>
      <c r="K5" s="4"/>
      <c r="L5" s="4"/>
      <c r="M5" s="4"/>
      <c r="N5" s="4"/>
      <c r="O5" s="4"/>
      <c r="P5" s="4"/>
      <c r="Q5" s="4"/>
      <c r="R5" s="4"/>
      <c r="S5" s="4"/>
      <c r="T5" s="4"/>
      <c r="U5" s="4"/>
      <c r="V5" s="4"/>
      <c r="W5" s="4"/>
      <c r="X5" s="4"/>
      <c r="Y5" s="4"/>
      <c r="Z5" s="4"/>
      <c r="AA5" s="4"/>
      <c r="AB5" s="4"/>
      <c r="AC5" s="4"/>
      <c r="AD5" s="4"/>
    </row>
    <row r="6" spans="1:30">
      <c r="A6" s="306" t="s">
        <v>4</v>
      </c>
      <c r="B6" s="306"/>
      <c r="C6" s="306"/>
      <c r="D6" s="306"/>
      <c r="E6" s="306"/>
      <c r="F6" s="306"/>
      <c r="G6" s="107" t="s">
        <v>5</v>
      </c>
      <c r="H6" s="108"/>
      <c r="I6" s="108"/>
      <c r="J6" s="108"/>
      <c r="K6" s="108"/>
      <c r="L6" s="108"/>
      <c r="M6" s="108"/>
      <c r="N6" s="108"/>
      <c r="O6" s="108"/>
      <c r="P6" s="108"/>
      <c r="Q6" s="108"/>
      <c r="R6" s="109"/>
      <c r="S6" s="4"/>
      <c r="T6" s="4"/>
      <c r="U6" s="4"/>
      <c r="V6" s="4"/>
      <c r="W6" s="4"/>
      <c r="X6" s="4"/>
      <c r="Y6" s="4"/>
      <c r="Z6" s="4"/>
      <c r="AA6" s="4"/>
      <c r="AB6" s="4"/>
      <c r="AC6" s="4"/>
      <c r="AD6" s="4"/>
    </row>
    <row r="7" spans="1:30">
      <c r="A7" s="306"/>
      <c r="B7" s="306"/>
      <c r="C7" s="306"/>
      <c r="D7" s="306"/>
      <c r="E7" s="306"/>
      <c r="F7" s="306"/>
      <c r="G7" s="110"/>
      <c r="H7" s="111"/>
      <c r="I7" s="111"/>
      <c r="J7" s="111"/>
      <c r="K7" s="111"/>
      <c r="L7" s="111"/>
      <c r="M7" s="111"/>
      <c r="N7" s="111"/>
      <c r="O7" s="111"/>
      <c r="P7" s="111"/>
      <c r="Q7" s="111"/>
      <c r="R7" s="112"/>
      <c r="S7" s="4"/>
      <c r="T7" s="4"/>
      <c r="U7" s="4"/>
      <c r="V7" s="4"/>
      <c r="W7" s="4"/>
      <c r="X7" s="4"/>
      <c r="Y7" s="4"/>
      <c r="Z7" s="4"/>
      <c r="AA7" s="4"/>
      <c r="AB7" s="4"/>
      <c r="AC7" s="4"/>
      <c r="AD7" s="4"/>
    </row>
    <row r="8" spans="1:30">
      <c r="A8" s="306"/>
      <c r="B8" s="306"/>
      <c r="C8" s="306"/>
      <c r="D8" s="306"/>
      <c r="E8" s="306"/>
      <c r="F8" s="306"/>
      <c r="G8" s="110"/>
      <c r="H8" s="111"/>
      <c r="I8" s="111"/>
      <c r="J8" s="111"/>
      <c r="K8" s="111"/>
      <c r="L8" s="111"/>
      <c r="M8" s="111"/>
      <c r="N8" s="111"/>
      <c r="O8" s="111"/>
      <c r="P8" s="111"/>
      <c r="Q8" s="111"/>
      <c r="R8" s="112"/>
      <c r="S8" s="4"/>
      <c r="T8" s="4"/>
      <c r="U8" s="4"/>
      <c r="V8" s="4"/>
      <c r="W8" s="4"/>
      <c r="X8" s="4"/>
      <c r="Y8" s="4"/>
      <c r="Z8" s="4"/>
      <c r="AA8" s="4"/>
      <c r="AB8" s="4"/>
      <c r="AC8" s="4"/>
      <c r="AD8" s="4"/>
    </row>
    <row r="9" spans="1:30">
      <c r="A9" s="306"/>
      <c r="B9" s="306"/>
      <c r="C9" s="306"/>
      <c r="D9" s="306"/>
      <c r="E9" s="306"/>
      <c r="F9" s="306"/>
      <c r="G9" s="110"/>
      <c r="H9" s="111"/>
      <c r="I9" s="111"/>
      <c r="J9" s="111"/>
      <c r="K9" s="111"/>
      <c r="L9" s="111"/>
      <c r="M9" s="111"/>
      <c r="N9" s="111"/>
      <c r="O9" s="111"/>
      <c r="P9" s="111"/>
      <c r="Q9" s="111"/>
      <c r="R9" s="112"/>
      <c r="S9" s="4"/>
      <c r="T9" s="4"/>
      <c r="U9" s="4"/>
      <c r="V9" s="4"/>
      <c r="W9" s="4"/>
      <c r="X9" s="4"/>
      <c r="Y9" s="4"/>
      <c r="Z9" s="4"/>
      <c r="AA9" s="4"/>
      <c r="AB9" s="4"/>
      <c r="AC9" s="4"/>
      <c r="AD9" s="4"/>
    </row>
    <row r="10" spans="1:30">
      <c r="A10" s="306"/>
      <c r="B10" s="306"/>
      <c r="C10" s="306"/>
      <c r="D10" s="306"/>
      <c r="E10" s="306"/>
      <c r="F10" s="306"/>
      <c r="G10" s="113"/>
      <c r="H10" s="114"/>
      <c r="I10" s="114"/>
      <c r="J10" s="114"/>
      <c r="K10" s="114"/>
      <c r="L10" s="114"/>
      <c r="M10" s="114"/>
      <c r="N10" s="114"/>
      <c r="O10" s="114"/>
      <c r="P10" s="114"/>
      <c r="Q10" s="114"/>
      <c r="R10" s="115"/>
      <c r="S10" s="4"/>
      <c r="T10" s="4"/>
      <c r="U10" s="4"/>
      <c r="V10" s="4"/>
      <c r="W10" s="4"/>
      <c r="X10" s="4"/>
      <c r="Y10" s="4"/>
      <c r="Z10" s="4"/>
      <c r="AA10" s="4"/>
      <c r="AB10" s="4"/>
      <c r="AC10" s="4"/>
      <c r="AD10" s="4"/>
    </row>
    <row r="11" spans="1:30">
      <c r="A11" s="306"/>
      <c r="B11" s="306"/>
      <c r="C11" s="306"/>
      <c r="D11" s="306"/>
      <c r="E11" s="306"/>
      <c r="F11" s="306"/>
      <c r="G11" s="4"/>
      <c r="H11" s="4"/>
      <c r="I11" s="4"/>
      <c r="J11" s="4"/>
      <c r="K11" s="4"/>
      <c r="L11" s="4"/>
      <c r="M11" s="4"/>
      <c r="N11" s="4"/>
      <c r="O11" s="4"/>
      <c r="P11" s="4"/>
      <c r="Q11" s="4"/>
      <c r="R11" s="4"/>
      <c r="S11" s="4"/>
      <c r="T11" s="4"/>
      <c r="U11" s="4"/>
      <c r="V11" s="4"/>
      <c r="W11" s="4"/>
      <c r="X11" s="4"/>
      <c r="Y11" s="4"/>
      <c r="Z11" s="4"/>
      <c r="AA11" s="4"/>
      <c r="AB11" s="4"/>
      <c r="AC11" s="4"/>
      <c r="AD11" s="4"/>
    </row>
    <row r="12" spans="1:30">
      <c r="A12" s="306"/>
      <c r="B12" s="306"/>
      <c r="C12" s="306"/>
      <c r="D12" s="306"/>
      <c r="E12" s="306"/>
      <c r="F12" s="306"/>
      <c r="G12" s="116" t="s">
        <v>6</v>
      </c>
      <c r="H12" s="117"/>
      <c r="I12" s="117"/>
      <c r="J12" s="117"/>
      <c r="K12" s="117"/>
      <c r="L12" s="117"/>
      <c r="M12" s="117"/>
      <c r="N12" s="117"/>
      <c r="O12" s="117"/>
      <c r="P12" s="117"/>
      <c r="Q12" s="117"/>
      <c r="R12" s="118"/>
      <c r="S12" s="4"/>
      <c r="T12" s="4"/>
      <c r="U12" s="4"/>
      <c r="V12" s="4"/>
      <c r="W12" s="4"/>
      <c r="X12" s="4"/>
      <c r="Y12" s="4"/>
      <c r="Z12" s="4"/>
      <c r="AA12" s="4"/>
      <c r="AB12" s="4"/>
      <c r="AC12" s="4"/>
      <c r="AD12" s="4"/>
    </row>
    <row r="13" spans="1:30">
      <c r="A13" s="306"/>
      <c r="B13" s="306"/>
      <c r="C13" s="306"/>
      <c r="D13" s="306"/>
      <c r="E13" s="306"/>
      <c r="F13" s="306"/>
      <c r="G13" s="119"/>
      <c r="H13" s="120"/>
      <c r="I13" s="120"/>
      <c r="J13" s="120"/>
      <c r="K13" s="120"/>
      <c r="L13" s="120"/>
      <c r="M13" s="120"/>
      <c r="N13" s="120"/>
      <c r="O13" s="120"/>
      <c r="P13" s="120"/>
      <c r="Q13" s="120"/>
      <c r="R13" s="121"/>
      <c r="S13" s="4"/>
      <c r="T13" s="4"/>
      <c r="U13" s="4"/>
      <c r="V13" s="4"/>
      <c r="W13" s="4"/>
      <c r="X13" s="4"/>
      <c r="Y13" s="4"/>
      <c r="Z13" s="4"/>
      <c r="AA13" s="4"/>
      <c r="AB13" s="4"/>
      <c r="AC13" s="4"/>
      <c r="AD13" s="4"/>
    </row>
    <row r="14" spans="1:30">
      <c r="A14" s="306"/>
      <c r="B14" s="306"/>
      <c r="C14" s="306"/>
      <c r="D14" s="306"/>
      <c r="E14" s="306"/>
      <c r="F14" s="306"/>
      <c r="G14" s="119"/>
      <c r="H14" s="120"/>
      <c r="I14" s="120"/>
      <c r="J14" s="120"/>
      <c r="K14" s="120"/>
      <c r="L14" s="120"/>
      <c r="M14" s="120"/>
      <c r="N14" s="120"/>
      <c r="O14" s="120"/>
      <c r="P14" s="120"/>
      <c r="Q14" s="120"/>
      <c r="R14" s="121"/>
      <c r="S14" s="4"/>
      <c r="T14" s="4"/>
      <c r="U14" s="4"/>
      <c r="V14" s="4"/>
      <c r="W14" s="4"/>
      <c r="X14" s="4"/>
      <c r="Y14" s="4"/>
      <c r="Z14" s="4"/>
      <c r="AA14" s="4"/>
      <c r="AB14" s="4"/>
      <c r="AC14" s="4"/>
      <c r="AD14" s="4"/>
    </row>
    <row r="15" spans="1:30">
      <c r="A15" s="306"/>
      <c r="B15" s="306"/>
      <c r="C15" s="306"/>
      <c r="D15" s="306"/>
      <c r="E15" s="306"/>
      <c r="F15" s="306"/>
      <c r="G15" s="119"/>
      <c r="H15" s="120"/>
      <c r="I15" s="120"/>
      <c r="J15" s="120"/>
      <c r="K15" s="120"/>
      <c r="L15" s="120"/>
      <c r="M15" s="120"/>
      <c r="N15" s="120"/>
      <c r="O15" s="120"/>
      <c r="P15" s="120"/>
      <c r="Q15" s="120"/>
      <c r="R15" s="121"/>
      <c r="S15" s="4"/>
      <c r="T15" s="4"/>
      <c r="U15" s="4"/>
      <c r="V15" s="4"/>
      <c r="W15" s="4"/>
      <c r="X15" s="4"/>
      <c r="Y15" s="4"/>
      <c r="Z15" s="4"/>
      <c r="AA15" s="4"/>
      <c r="AB15" s="4"/>
      <c r="AC15" s="4"/>
      <c r="AD15" s="4"/>
    </row>
    <row r="16" spans="1:30">
      <c r="A16" s="306"/>
      <c r="B16" s="306"/>
      <c r="C16" s="306"/>
      <c r="D16" s="306"/>
      <c r="E16" s="306"/>
      <c r="F16" s="306"/>
      <c r="G16" s="119"/>
      <c r="H16" s="120"/>
      <c r="I16" s="120"/>
      <c r="J16" s="120"/>
      <c r="K16" s="120"/>
      <c r="L16" s="120"/>
      <c r="M16" s="120"/>
      <c r="N16" s="120"/>
      <c r="O16" s="120"/>
      <c r="P16" s="120"/>
      <c r="Q16" s="120"/>
      <c r="R16" s="121"/>
      <c r="S16" s="4"/>
      <c r="T16" s="4"/>
      <c r="U16" s="4"/>
      <c r="V16" s="4"/>
      <c r="W16" s="4"/>
      <c r="X16" s="4"/>
      <c r="Y16" s="4"/>
      <c r="Z16" s="4"/>
      <c r="AA16" s="4"/>
      <c r="AB16" s="4"/>
      <c r="AC16" s="4"/>
      <c r="AD16" s="4"/>
    </row>
    <row r="17" spans="1:30">
      <c r="A17" s="306"/>
      <c r="B17" s="306"/>
      <c r="C17" s="306"/>
      <c r="D17" s="306"/>
      <c r="E17" s="306"/>
      <c r="F17" s="306"/>
      <c r="G17" s="119"/>
      <c r="H17" s="120"/>
      <c r="I17" s="120"/>
      <c r="J17" s="120"/>
      <c r="K17" s="120"/>
      <c r="L17" s="120"/>
      <c r="M17" s="120"/>
      <c r="N17" s="120"/>
      <c r="O17" s="120"/>
      <c r="P17" s="120"/>
      <c r="Q17" s="120"/>
      <c r="R17" s="121"/>
      <c r="S17" s="4"/>
      <c r="T17" s="4"/>
      <c r="U17" s="4"/>
      <c r="V17" s="4"/>
      <c r="W17" s="4"/>
      <c r="X17" s="4"/>
      <c r="Y17" s="4"/>
      <c r="Z17" s="4"/>
      <c r="AA17" s="4"/>
      <c r="AB17" s="4"/>
      <c r="AC17" s="4"/>
      <c r="AD17" s="4"/>
    </row>
    <row r="18" spans="1:30">
      <c r="A18" s="306"/>
      <c r="B18" s="306"/>
      <c r="C18" s="306"/>
      <c r="D18" s="306"/>
      <c r="E18" s="306"/>
      <c r="F18" s="306"/>
      <c r="G18" s="122"/>
      <c r="H18" s="123"/>
      <c r="I18" s="123"/>
      <c r="J18" s="123"/>
      <c r="K18" s="123"/>
      <c r="L18" s="123"/>
      <c r="M18" s="123"/>
      <c r="N18" s="123"/>
      <c r="O18" s="123"/>
      <c r="P18" s="123"/>
      <c r="Q18" s="123"/>
      <c r="R18" s="124"/>
      <c r="S18" s="4"/>
      <c r="T18" s="4"/>
      <c r="U18" s="4"/>
      <c r="V18" s="4"/>
      <c r="W18" s="4"/>
      <c r="X18" s="4"/>
      <c r="Y18" s="4"/>
      <c r="Z18" s="4"/>
      <c r="AA18" s="4"/>
      <c r="AB18" s="4"/>
      <c r="AC18" s="4"/>
      <c r="AD18" s="4"/>
    </row>
    <row r="19" spans="1:30">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row>
    <row r="20" spans="1:30" ht="16" customHeight="1">
      <c r="A20" s="125" t="s">
        <v>7</v>
      </c>
      <c r="B20" s="125"/>
      <c r="C20" s="125"/>
      <c r="D20" s="125"/>
      <c r="E20" s="125"/>
      <c r="F20" s="125"/>
      <c r="G20" s="125"/>
      <c r="H20" s="125"/>
      <c r="I20" s="125"/>
      <c r="J20" s="125"/>
      <c r="K20" s="125"/>
      <c r="L20" s="125"/>
      <c r="M20" s="125"/>
      <c r="N20" s="125"/>
      <c r="O20" s="125"/>
      <c r="P20" s="125"/>
      <c r="Q20" s="125"/>
      <c r="R20" s="125"/>
      <c r="S20" s="4"/>
      <c r="T20" s="4"/>
      <c r="U20" s="4"/>
      <c r="V20" s="4"/>
      <c r="W20" s="4"/>
      <c r="X20" s="4"/>
      <c r="Y20" s="4"/>
      <c r="Z20" s="4"/>
      <c r="AA20" s="4"/>
      <c r="AB20" s="4"/>
      <c r="AC20" s="4"/>
      <c r="AD20" s="4"/>
    </row>
    <row r="21" spans="1:30">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row>
    <row r="22" spans="1:30">
      <c r="A22" s="126" t="s">
        <v>8</v>
      </c>
      <c r="B22" s="127"/>
      <c r="C22" s="127"/>
      <c r="D22" s="128"/>
      <c r="E22" s="135" t="s">
        <v>9</v>
      </c>
      <c r="F22" s="136"/>
      <c r="G22" s="136"/>
      <c r="H22" s="137"/>
      <c r="I22" s="144" t="s">
        <v>10</v>
      </c>
      <c r="J22" s="145"/>
      <c r="K22" s="145"/>
      <c r="L22" s="145"/>
      <c r="M22" s="146"/>
      <c r="N22" s="153" t="s">
        <v>11</v>
      </c>
      <c r="O22" s="154"/>
      <c r="P22" s="154"/>
      <c r="Q22" s="154"/>
      <c r="R22" s="155"/>
      <c r="S22" s="4"/>
      <c r="T22" s="4"/>
      <c r="U22" s="4"/>
      <c r="V22" s="4"/>
      <c r="W22" s="4"/>
      <c r="X22" s="4"/>
      <c r="Y22" s="4"/>
      <c r="Z22" s="4"/>
      <c r="AA22" s="4"/>
      <c r="AB22" s="4"/>
      <c r="AC22" s="4"/>
      <c r="AD22" s="4"/>
    </row>
    <row r="23" spans="1:30">
      <c r="A23" s="129"/>
      <c r="B23" s="130"/>
      <c r="C23" s="130"/>
      <c r="D23" s="131"/>
      <c r="E23" s="138"/>
      <c r="F23" s="139"/>
      <c r="G23" s="139"/>
      <c r="H23" s="140"/>
      <c r="I23" s="147"/>
      <c r="J23" s="148"/>
      <c r="K23" s="148"/>
      <c r="L23" s="148"/>
      <c r="M23" s="149"/>
      <c r="N23" s="156"/>
      <c r="O23" s="157"/>
      <c r="P23" s="157"/>
      <c r="Q23" s="157"/>
      <c r="R23" s="158"/>
      <c r="S23" s="4"/>
      <c r="T23" s="4"/>
      <c r="U23" s="4"/>
      <c r="V23" s="4"/>
      <c r="W23" s="4"/>
      <c r="X23" s="4"/>
      <c r="Y23" s="4"/>
      <c r="Z23" s="4"/>
      <c r="AA23" s="4"/>
      <c r="AB23" s="4"/>
      <c r="AC23" s="4"/>
      <c r="AD23" s="4"/>
    </row>
    <row r="24" spans="1:30">
      <c r="A24" s="129"/>
      <c r="B24" s="130"/>
      <c r="C24" s="130"/>
      <c r="D24" s="131"/>
      <c r="E24" s="138"/>
      <c r="F24" s="139"/>
      <c r="G24" s="139"/>
      <c r="H24" s="140"/>
      <c r="I24" s="147"/>
      <c r="J24" s="148"/>
      <c r="K24" s="148"/>
      <c r="L24" s="148"/>
      <c r="M24" s="149"/>
      <c r="N24" s="156"/>
      <c r="O24" s="157"/>
      <c r="P24" s="157"/>
      <c r="Q24" s="157"/>
      <c r="R24" s="158"/>
      <c r="S24" s="4"/>
      <c r="T24" s="4"/>
      <c r="U24" s="4"/>
      <c r="V24" s="4"/>
      <c r="W24" s="4"/>
      <c r="X24" s="4"/>
      <c r="Y24" s="4"/>
      <c r="Z24" s="4"/>
      <c r="AA24" s="4"/>
      <c r="AB24" s="4"/>
      <c r="AC24" s="4"/>
      <c r="AD24" s="4"/>
    </row>
    <row r="25" spans="1:30">
      <c r="A25" s="129"/>
      <c r="B25" s="130"/>
      <c r="C25" s="130"/>
      <c r="D25" s="131"/>
      <c r="E25" s="138"/>
      <c r="F25" s="139"/>
      <c r="G25" s="139"/>
      <c r="H25" s="140"/>
      <c r="I25" s="147"/>
      <c r="J25" s="148"/>
      <c r="K25" s="148"/>
      <c r="L25" s="148"/>
      <c r="M25" s="149"/>
      <c r="N25" s="156"/>
      <c r="O25" s="157"/>
      <c r="P25" s="157"/>
      <c r="Q25" s="157"/>
      <c r="R25" s="158"/>
      <c r="S25" s="4"/>
      <c r="T25" s="4"/>
      <c r="U25" s="4"/>
      <c r="V25" s="4"/>
      <c r="W25" s="4"/>
      <c r="X25" s="4"/>
      <c r="Y25" s="4"/>
      <c r="Z25" s="4"/>
      <c r="AA25" s="4"/>
      <c r="AB25" s="4"/>
      <c r="AC25" s="4"/>
      <c r="AD25" s="4"/>
    </row>
    <row r="26" spans="1:30">
      <c r="A26" s="129"/>
      <c r="B26" s="130"/>
      <c r="C26" s="130"/>
      <c r="D26" s="131"/>
      <c r="E26" s="138"/>
      <c r="F26" s="139"/>
      <c r="G26" s="139"/>
      <c r="H26" s="140"/>
      <c r="I26" s="147"/>
      <c r="J26" s="148"/>
      <c r="K26" s="148"/>
      <c r="L26" s="148"/>
      <c r="M26" s="149"/>
      <c r="N26" s="156"/>
      <c r="O26" s="157"/>
      <c r="P26" s="157"/>
      <c r="Q26" s="157"/>
      <c r="R26" s="158"/>
      <c r="S26" s="4"/>
      <c r="T26" s="4"/>
      <c r="U26" s="4"/>
      <c r="V26" s="4"/>
      <c r="W26" s="4"/>
      <c r="X26" s="4"/>
      <c r="Y26" s="4"/>
      <c r="Z26" s="4"/>
      <c r="AA26" s="4"/>
      <c r="AB26" s="4"/>
      <c r="AC26" s="4"/>
      <c r="AD26" s="4"/>
    </row>
    <row r="27" spans="1:30">
      <c r="A27" s="132"/>
      <c r="B27" s="133"/>
      <c r="C27" s="133"/>
      <c r="D27" s="134"/>
      <c r="E27" s="141"/>
      <c r="F27" s="142"/>
      <c r="G27" s="142"/>
      <c r="H27" s="143"/>
      <c r="I27" s="150"/>
      <c r="J27" s="151"/>
      <c r="K27" s="151"/>
      <c r="L27" s="151"/>
      <c r="M27" s="152"/>
      <c r="N27" s="159"/>
      <c r="O27" s="160"/>
      <c r="P27" s="160"/>
      <c r="Q27" s="160"/>
      <c r="R27" s="161"/>
      <c r="S27" s="4"/>
      <c r="T27" s="4"/>
      <c r="U27" s="4"/>
      <c r="V27" s="4"/>
      <c r="W27" s="4"/>
      <c r="X27" s="4"/>
      <c r="Y27" s="4"/>
      <c r="Z27" s="4"/>
      <c r="AA27" s="4"/>
      <c r="AB27" s="4"/>
      <c r="AC27" s="4"/>
      <c r="AD27" s="4"/>
    </row>
    <row r="28" spans="1:30">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row>
    <row r="29" spans="1:30" ht="16" customHeight="1">
      <c r="A29" s="162" t="s">
        <v>12</v>
      </c>
      <c r="B29" s="162"/>
      <c r="C29" s="162"/>
      <c r="D29" s="162"/>
      <c r="E29" s="162"/>
      <c r="F29" s="162"/>
      <c r="G29" s="162"/>
      <c r="H29" s="162"/>
      <c r="I29" s="162"/>
      <c r="J29" s="162"/>
      <c r="K29" s="162"/>
      <c r="L29" s="162"/>
      <c r="M29" s="162"/>
      <c r="N29" s="162"/>
      <c r="O29" s="162"/>
      <c r="P29" s="162"/>
      <c r="Q29" s="162"/>
      <c r="R29" s="162"/>
      <c r="S29" s="4"/>
      <c r="T29" s="4"/>
      <c r="U29" s="4"/>
      <c r="V29" s="4"/>
      <c r="W29" s="4"/>
      <c r="X29" s="4"/>
      <c r="Y29" s="4"/>
      <c r="Z29" s="4"/>
      <c r="AA29" s="4"/>
      <c r="AB29" s="4"/>
      <c r="AC29" s="4"/>
      <c r="AD29" s="4"/>
    </row>
    <row r="30" spans="1:30">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row>
    <row r="31" spans="1:30">
      <c r="A31" s="163" t="s">
        <v>13</v>
      </c>
      <c r="B31" s="164"/>
      <c r="C31" s="164"/>
      <c r="D31" s="165"/>
      <c r="E31" s="171" t="s">
        <v>14</v>
      </c>
      <c r="F31" s="172"/>
      <c r="G31" s="172"/>
      <c r="H31" s="173"/>
      <c r="I31" s="179" t="s">
        <v>15</v>
      </c>
      <c r="J31" s="180"/>
      <c r="K31" s="180"/>
      <c r="L31" s="180"/>
      <c r="M31" s="181"/>
      <c r="N31" s="187" t="s">
        <v>16</v>
      </c>
      <c r="O31" s="188"/>
      <c r="P31" s="188"/>
      <c r="Q31" s="188"/>
      <c r="R31" s="189"/>
      <c r="S31" s="4"/>
      <c r="T31" s="4"/>
      <c r="U31" s="4"/>
      <c r="V31" s="4"/>
      <c r="W31" s="4"/>
      <c r="X31" s="4"/>
      <c r="Y31" s="4"/>
      <c r="Z31" s="4"/>
      <c r="AA31" s="4"/>
      <c r="AB31" s="4"/>
      <c r="AC31" s="4"/>
      <c r="AD31" s="4"/>
    </row>
    <row r="32" spans="1:30">
      <c r="A32" s="166"/>
      <c r="B32" s="130"/>
      <c r="C32" s="130"/>
      <c r="D32" s="167"/>
      <c r="E32" s="174"/>
      <c r="F32" s="139"/>
      <c r="G32" s="139"/>
      <c r="H32" s="175"/>
      <c r="I32" s="182"/>
      <c r="J32" s="148"/>
      <c r="K32" s="148"/>
      <c r="L32" s="148"/>
      <c r="M32" s="183"/>
      <c r="N32" s="190"/>
      <c r="O32" s="157"/>
      <c r="P32" s="157"/>
      <c r="Q32" s="157"/>
      <c r="R32" s="191"/>
      <c r="S32" s="4"/>
      <c r="T32" s="4"/>
      <c r="U32" s="4"/>
      <c r="V32" s="4"/>
      <c r="W32" s="4"/>
      <c r="X32" s="4"/>
      <c r="Y32" s="4"/>
      <c r="Z32" s="4"/>
      <c r="AA32" s="4"/>
      <c r="AB32" s="4"/>
      <c r="AC32" s="4"/>
      <c r="AD32" s="4"/>
    </row>
    <row r="33" spans="1:30">
      <c r="A33" s="166"/>
      <c r="B33" s="130"/>
      <c r="C33" s="130"/>
      <c r="D33" s="167"/>
      <c r="E33" s="174"/>
      <c r="F33" s="139"/>
      <c r="G33" s="139"/>
      <c r="H33" s="175"/>
      <c r="I33" s="182"/>
      <c r="J33" s="148"/>
      <c r="K33" s="148"/>
      <c r="L33" s="148"/>
      <c r="M33" s="183"/>
      <c r="N33" s="190"/>
      <c r="O33" s="157"/>
      <c r="P33" s="157"/>
      <c r="Q33" s="157"/>
      <c r="R33" s="191"/>
      <c r="S33" s="4"/>
      <c r="T33" s="4"/>
      <c r="U33" s="4"/>
      <c r="V33" s="4"/>
      <c r="W33" s="4"/>
      <c r="X33" s="4"/>
      <c r="Y33" s="4"/>
      <c r="Z33" s="4"/>
      <c r="AA33" s="4"/>
      <c r="AB33" s="4"/>
      <c r="AC33" s="4"/>
      <c r="AD33" s="4"/>
    </row>
    <row r="34" spans="1:30">
      <c r="A34" s="166"/>
      <c r="B34" s="130"/>
      <c r="C34" s="130"/>
      <c r="D34" s="167"/>
      <c r="E34" s="174"/>
      <c r="F34" s="139"/>
      <c r="G34" s="139"/>
      <c r="H34" s="175"/>
      <c r="I34" s="182"/>
      <c r="J34" s="148"/>
      <c r="K34" s="148"/>
      <c r="L34" s="148"/>
      <c r="M34" s="183"/>
      <c r="N34" s="190"/>
      <c r="O34" s="157"/>
      <c r="P34" s="157"/>
      <c r="Q34" s="157"/>
      <c r="R34" s="191"/>
      <c r="S34" s="4"/>
      <c r="T34" s="4"/>
      <c r="U34" s="4"/>
      <c r="V34" s="4"/>
      <c r="W34" s="4"/>
      <c r="X34" s="4"/>
      <c r="Y34" s="4"/>
      <c r="Z34" s="4"/>
      <c r="AA34" s="4"/>
      <c r="AB34" s="4"/>
      <c r="AC34" s="4"/>
      <c r="AD34" s="4"/>
    </row>
    <row r="35" spans="1:30">
      <c r="A35" s="166"/>
      <c r="B35" s="130"/>
      <c r="C35" s="130"/>
      <c r="D35" s="167"/>
      <c r="E35" s="174"/>
      <c r="F35" s="139"/>
      <c r="G35" s="139"/>
      <c r="H35" s="175"/>
      <c r="I35" s="182"/>
      <c r="J35" s="148"/>
      <c r="K35" s="148"/>
      <c r="L35" s="148"/>
      <c r="M35" s="183"/>
      <c r="N35" s="190"/>
      <c r="O35" s="157"/>
      <c r="P35" s="157"/>
      <c r="Q35" s="157"/>
      <c r="R35" s="191"/>
      <c r="S35" s="4"/>
      <c r="T35" s="4"/>
      <c r="U35" s="4"/>
      <c r="V35" s="4"/>
      <c r="W35" s="4"/>
      <c r="X35" s="4"/>
      <c r="Y35" s="4"/>
      <c r="Z35" s="4"/>
      <c r="AA35" s="4"/>
      <c r="AB35" s="4"/>
      <c r="AC35" s="4"/>
      <c r="AD35" s="4"/>
    </row>
    <row r="36" spans="1:30">
      <c r="A36" s="168"/>
      <c r="B36" s="169"/>
      <c r="C36" s="169"/>
      <c r="D36" s="170"/>
      <c r="E36" s="176"/>
      <c r="F36" s="177"/>
      <c r="G36" s="177"/>
      <c r="H36" s="178"/>
      <c r="I36" s="184"/>
      <c r="J36" s="185"/>
      <c r="K36" s="185"/>
      <c r="L36" s="185"/>
      <c r="M36" s="186"/>
      <c r="N36" s="192"/>
      <c r="O36" s="193"/>
      <c r="P36" s="193"/>
      <c r="Q36" s="193"/>
      <c r="R36" s="194"/>
      <c r="S36" s="4"/>
      <c r="T36" s="4"/>
      <c r="U36" s="4"/>
      <c r="V36" s="4"/>
      <c r="W36" s="4"/>
      <c r="X36" s="4"/>
      <c r="Y36" s="4"/>
      <c r="Z36" s="4"/>
      <c r="AA36" s="4"/>
      <c r="AB36" s="4"/>
      <c r="AC36" s="4"/>
      <c r="AD36" s="4"/>
    </row>
    <row r="37" spans="1:30">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row>
    <row r="38" spans="1:30" ht="16" customHeight="1">
      <c r="A38" s="195" t="s">
        <v>17</v>
      </c>
      <c r="B38" s="195"/>
      <c r="C38" s="195"/>
      <c r="D38" s="195"/>
      <c r="E38" s="195"/>
      <c r="F38" s="195"/>
      <c r="G38" s="195"/>
      <c r="H38" s="195"/>
      <c r="I38" s="195"/>
      <c r="J38" s="195"/>
      <c r="K38" s="195"/>
      <c r="L38" s="195"/>
      <c r="M38" s="195"/>
      <c r="N38" s="195"/>
      <c r="O38" s="195"/>
      <c r="P38" s="195"/>
      <c r="Q38" s="195"/>
      <c r="R38" s="195"/>
      <c r="S38" s="4"/>
      <c r="T38" s="4"/>
      <c r="U38" s="4"/>
      <c r="V38" s="4"/>
      <c r="W38" s="4"/>
      <c r="X38" s="4"/>
      <c r="Y38" s="4"/>
      <c r="Z38" s="4"/>
      <c r="AA38" s="4"/>
      <c r="AB38" s="4"/>
      <c r="AC38" s="4"/>
      <c r="AD38" s="4"/>
    </row>
    <row r="39" spans="1:30" ht="25.4" customHeight="1">
      <c r="A39" s="196" t="s">
        <v>18</v>
      </c>
      <c r="B39" s="197"/>
      <c r="C39" s="197"/>
      <c r="D39" s="197" t="s">
        <v>19</v>
      </c>
      <c r="E39" s="197"/>
      <c r="F39" s="197"/>
      <c r="G39" s="197"/>
      <c r="H39" s="197"/>
      <c r="I39" s="197"/>
      <c r="J39" s="197"/>
      <c r="K39" s="197" t="s">
        <v>20</v>
      </c>
      <c r="L39" s="197"/>
      <c r="M39" s="197"/>
      <c r="N39" s="197" t="s">
        <v>21</v>
      </c>
      <c r="O39" s="197"/>
      <c r="P39" s="197"/>
      <c r="Q39" s="197"/>
      <c r="R39" s="198"/>
      <c r="S39" s="4"/>
      <c r="T39" s="4"/>
      <c r="U39" s="4"/>
      <c r="V39" s="4"/>
      <c r="W39" s="4"/>
      <c r="X39" s="4"/>
      <c r="Y39" s="4"/>
      <c r="Z39" s="4"/>
      <c r="AA39" s="4"/>
      <c r="AB39" s="4"/>
      <c r="AC39" s="4"/>
      <c r="AD39" s="4"/>
    </row>
    <row r="40" spans="1:30" ht="20.65" customHeight="1">
      <c r="A40" s="199" t="s">
        <v>22</v>
      </c>
      <c r="B40" s="200"/>
      <c r="C40" s="200"/>
      <c r="D40" s="201" t="s">
        <v>23</v>
      </c>
      <c r="E40" s="201"/>
      <c r="F40" s="201"/>
      <c r="G40" s="201"/>
      <c r="H40" s="201"/>
      <c r="I40" s="201"/>
      <c r="J40" s="201"/>
      <c r="K40" s="201" t="s">
        <v>24</v>
      </c>
      <c r="L40" s="201"/>
      <c r="M40" s="201"/>
      <c r="N40" s="201" t="s">
        <v>25</v>
      </c>
      <c r="O40" s="201"/>
      <c r="P40" s="201"/>
      <c r="Q40" s="201"/>
      <c r="R40" s="202"/>
      <c r="S40" s="4"/>
      <c r="T40" s="4"/>
      <c r="U40" s="4"/>
      <c r="V40" s="4"/>
      <c r="W40" s="4"/>
      <c r="X40" s="4"/>
      <c r="Y40" s="4"/>
      <c r="Z40" s="4"/>
      <c r="AA40" s="4"/>
      <c r="AB40" s="4"/>
      <c r="AC40" s="4"/>
      <c r="AD40" s="4"/>
    </row>
    <row r="41" spans="1:30" ht="20.65" customHeight="1">
      <c r="A41" s="203" t="s">
        <v>26</v>
      </c>
      <c r="B41" s="204"/>
      <c r="C41" s="204"/>
      <c r="D41" s="205" t="s">
        <v>27</v>
      </c>
      <c r="E41" s="205"/>
      <c r="F41" s="205"/>
      <c r="G41" s="205"/>
      <c r="H41" s="205"/>
      <c r="I41" s="205"/>
      <c r="J41" s="205"/>
      <c r="K41" s="205" t="s">
        <v>28</v>
      </c>
      <c r="L41" s="205"/>
      <c r="M41" s="205"/>
      <c r="N41" s="205" t="s">
        <v>29</v>
      </c>
      <c r="O41" s="205"/>
      <c r="P41" s="205"/>
      <c r="Q41" s="205"/>
      <c r="R41" s="206"/>
      <c r="S41" s="4"/>
      <c r="T41" s="4"/>
      <c r="U41" s="4"/>
      <c r="V41" s="4"/>
      <c r="W41" s="4"/>
      <c r="X41" s="4"/>
      <c r="Y41" s="4"/>
      <c r="Z41" s="4"/>
      <c r="AA41" s="4"/>
      <c r="AB41" s="4"/>
      <c r="AC41" s="4"/>
      <c r="AD41" s="4"/>
    </row>
    <row r="42" spans="1:30" ht="20.65" customHeight="1">
      <c r="A42" s="203" t="s">
        <v>30</v>
      </c>
      <c r="B42" s="204"/>
      <c r="C42" s="204"/>
      <c r="D42" s="205" t="s">
        <v>31</v>
      </c>
      <c r="E42" s="205"/>
      <c r="F42" s="205"/>
      <c r="G42" s="205"/>
      <c r="H42" s="205"/>
      <c r="I42" s="205"/>
      <c r="J42" s="205"/>
      <c r="K42" s="205" t="s">
        <v>32</v>
      </c>
      <c r="L42" s="205"/>
      <c r="M42" s="205"/>
      <c r="N42" s="205" t="s">
        <v>33</v>
      </c>
      <c r="O42" s="205"/>
      <c r="P42" s="205"/>
      <c r="Q42" s="205"/>
      <c r="R42" s="206"/>
      <c r="S42" s="4"/>
      <c r="T42" s="4"/>
      <c r="U42" s="4"/>
      <c r="V42" s="4"/>
      <c r="W42" s="4"/>
      <c r="X42" s="4"/>
      <c r="Y42" s="4"/>
      <c r="Z42" s="4"/>
      <c r="AA42" s="4"/>
      <c r="AB42" s="4"/>
      <c r="AC42" s="4"/>
      <c r="AD42" s="4"/>
    </row>
    <row r="43" spans="1:30" ht="20.65" customHeight="1">
      <c r="A43" s="203" t="s">
        <v>34</v>
      </c>
      <c r="B43" s="204"/>
      <c r="C43" s="204"/>
      <c r="D43" s="205" t="s">
        <v>35</v>
      </c>
      <c r="E43" s="205"/>
      <c r="F43" s="205"/>
      <c r="G43" s="205"/>
      <c r="H43" s="205"/>
      <c r="I43" s="205"/>
      <c r="J43" s="205"/>
      <c r="K43" s="205" t="s">
        <v>36</v>
      </c>
      <c r="L43" s="205"/>
      <c r="M43" s="205"/>
      <c r="N43" s="205" t="s">
        <v>37</v>
      </c>
      <c r="O43" s="205"/>
      <c r="P43" s="205"/>
      <c r="Q43" s="205"/>
      <c r="R43" s="206"/>
      <c r="S43" s="4"/>
      <c r="T43" s="4"/>
      <c r="U43" s="4"/>
      <c r="V43" s="4"/>
      <c r="W43" s="4"/>
      <c r="X43" s="4"/>
      <c r="Y43" s="4"/>
      <c r="Z43" s="4"/>
      <c r="AA43" s="4"/>
      <c r="AB43" s="4"/>
      <c r="AC43" s="4"/>
      <c r="AD43" s="4"/>
    </row>
    <row r="44" spans="1:30" ht="20.65" customHeight="1">
      <c r="A44" s="207" t="s">
        <v>38</v>
      </c>
      <c r="B44" s="208"/>
      <c r="C44" s="208"/>
      <c r="D44" s="209" t="s">
        <v>39</v>
      </c>
      <c r="E44" s="209"/>
      <c r="F44" s="209"/>
      <c r="G44" s="209"/>
      <c r="H44" s="209"/>
      <c r="I44" s="209"/>
      <c r="J44" s="209"/>
      <c r="K44" s="209" t="s">
        <v>24</v>
      </c>
      <c r="L44" s="209"/>
      <c r="M44" s="209"/>
      <c r="N44" s="209" t="s">
        <v>40</v>
      </c>
      <c r="O44" s="209"/>
      <c r="P44" s="209"/>
      <c r="Q44" s="209"/>
      <c r="R44" s="210"/>
      <c r="S44" s="4"/>
      <c r="T44" s="4"/>
      <c r="U44" s="4"/>
      <c r="V44" s="4"/>
      <c r="W44" s="4"/>
      <c r="X44" s="4"/>
      <c r="Y44" s="4"/>
      <c r="Z44" s="4"/>
      <c r="AA44" s="4"/>
      <c r="AB44" s="4"/>
      <c r="AC44" s="4"/>
      <c r="AD44" s="4"/>
    </row>
    <row r="45" spans="1:30">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row>
    <row r="46" spans="1:30">
      <c r="A46" s="211" t="s">
        <v>41</v>
      </c>
      <c r="B46" s="212"/>
      <c r="C46" s="212"/>
      <c r="D46" s="212"/>
      <c r="E46" s="212"/>
      <c r="F46" s="212"/>
      <c r="G46" s="212"/>
      <c r="H46" s="212"/>
      <c r="I46" s="212"/>
      <c r="J46" s="212"/>
      <c r="K46" s="212"/>
      <c r="L46" s="212"/>
      <c r="M46" s="212"/>
      <c r="N46" s="212"/>
      <c r="O46" s="212"/>
      <c r="P46" s="212"/>
      <c r="Q46" s="212"/>
      <c r="R46" s="213"/>
      <c r="S46" s="4"/>
      <c r="T46" s="4"/>
      <c r="U46" s="4"/>
      <c r="V46" s="4"/>
      <c r="W46" s="4"/>
      <c r="X46" s="4"/>
      <c r="Y46" s="4"/>
      <c r="Z46" s="4"/>
      <c r="AA46" s="4"/>
      <c r="AB46" s="4"/>
      <c r="AC46" s="4"/>
      <c r="AD46" s="4"/>
    </row>
    <row r="47" spans="1:30">
      <c r="A47" s="214"/>
      <c r="B47" s="215"/>
      <c r="C47" s="215"/>
      <c r="D47" s="215"/>
      <c r="E47" s="215"/>
      <c r="F47" s="215"/>
      <c r="G47" s="215"/>
      <c r="H47" s="215"/>
      <c r="I47" s="215"/>
      <c r="J47" s="215"/>
      <c r="K47" s="215"/>
      <c r="L47" s="215"/>
      <c r="M47" s="215"/>
      <c r="N47" s="215"/>
      <c r="O47" s="215"/>
      <c r="P47" s="215"/>
      <c r="Q47" s="215"/>
      <c r="R47" s="216"/>
      <c r="S47" s="4"/>
      <c r="T47" s="4"/>
      <c r="U47" s="4"/>
      <c r="V47" s="4"/>
      <c r="W47" s="4"/>
      <c r="X47" s="4"/>
      <c r="Y47" s="4"/>
      <c r="Z47" s="4"/>
      <c r="AA47" s="4"/>
      <c r="AB47" s="4"/>
      <c r="AC47" s="4"/>
      <c r="AD47" s="4"/>
    </row>
    <row r="48" spans="1:30">
      <c r="A48" s="214"/>
      <c r="B48" s="215"/>
      <c r="C48" s="215"/>
      <c r="D48" s="215"/>
      <c r="E48" s="215"/>
      <c r="F48" s="215"/>
      <c r="G48" s="215"/>
      <c r="H48" s="215"/>
      <c r="I48" s="215"/>
      <c r="J48" s="215"/>
      <c r="K48" s="215"/>
      <c r="L48" s="215"/>
      <c r="M48" s="215"/>
      <c r="N48" s="215"/>
      <c r="O48" s="215"/>
      <c r="P48" s="215"/>
      <c r="Q48" s="215"/>
      <c r="R48" s="216"/>
      <c r="S48" s="4"/>
      <c r="T48" s="4"/>
      <c r="U48" s="4"/>
      <c r="V48" s="4"/>
      <c r="W48" s="4"/>
      <c r="X48" s="4"/>
      <c r="Y48" s="4"/>
      <c r="Z48" s="4"/>
      <c r="AA48" s="4"/>
      <c r="AB48" s="4"/>
      <c r="AC48" s="4"/>
      <c r="AD48" s="4"/>
    </row>
    <row r="49" spans="1:30">
      <c r="A49" s="217"/>
      <c r="B49" s="218"/>
      <c r="C49" s="218"/>
      <c r="D49" s="218"/>
      <c r="E49" s="218"/>
      <c r="F49" s="218"/>
      <c r="G49" s="218"/>
      <c r="H49" s="218"/>
      <c r="I49" s="218"/>
      <c r="J49" s="218"/>
      <c r="K49" s="218"/>
      <c r="L49" s="218"/>
      <c r="M49" s="218"/>
      <c r="N49" s="218"/>
      <c r="O49" s="218"/>
      <c r="P49" s="218"/>
      <c r="Q49" s="218"/>
      <c r="R49" s="219"/>
      <c r="S49" s="4"/>
      <c r="T49" s="4"/>
      <c r="U49" s="4"/>
      <c r="V49" s="4"/>
      <c r="W49" s="4"/>
      <c r="X49" s="4"/>
      <c r="Y49" s="4"/>
      <c r="Z49" s="4"/>
      <c r="AA49" s="4"/>
      <c r="AB49" s="4"/>
      <c r="AC49" s="4"/>
      <c r="AD49" s="4"/>
    </row>
    <row r="50" spans="1:30">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row>
    <row r="51" spans="1:30" ht="13.4" customHeight="1">
      <c r="A51" s="220" t="s">
        <v>42</v>
      </c>
      <c r="B51" s="220"/>
      <c r="C51" s="220"/>
      <c r="D51" s="220"/>
      <c r="E51" s="220"/>
      <c r="F51" s="220"/>
      <c r="G51" s="220"/>
      <c r="H51" s="220"/>
      <c r="I51" s="220"/>
      <c r="J51" s="220"/>
      <c r="K51" s="220"/>
      <c r="L51" s="220"/>
      <c r="M51" s="220"/>
      <c r="N51" s="220"/>
      <c r="O51" s="220"/>
      <c r="P51" s="220"/>
      <c r="Q51" s="220"/>
      <c r="R51" s="220"/>
      <c r="S51" s="4"/>
      <c r="T51" s="4"/>
      <c r="U51" s="4"/>
      <c r="V51" s="4"/>
      <c r="W51" s="4"/>
      <c r="X51" s="4"/>
      <c r="Y51" s="4"/>
      <c r="Z51" s="4"/>
      <c r="AA51" s="4"/>
      <c r="AB51" s="4"/>
      <c r="AC51" s="4"/>
      <c r="AD51" s="4"/>
    </row>
    <row r="52" spans="1:30">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row>
    <row r="53" spans="1:30">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row>
    <row r="54" spans="1:30">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row>
    <row r="55" spans="1:30">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row>
    <row r="56" spans="1:30">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row>
    <row r="57" spans="1:30">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row>
    <row r="58" spans="1:30">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row>
    <row r="59" spans="1:30">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row>
    <row r="60" spans="1:30">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row>
    <row r="61" spans="1:30">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row>
    <row r="62" spans="1:30">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row>
    <row r="63" spans="1:30">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row>
    <row r="64" spans="1:30">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row>
    <row r="65" spans="1:30">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row>
    <row r="66" spans="1:30">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row>
    <row r="67" spans="1:30">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row>
    <row r="68" spans="1:30">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row>
    <row r="69" spans="1:30">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row>
    <row r="70" spans="1:30">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row>
    <row r="71" spans="1:30">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row>
    <row r="72" spans="1:30">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row>
    <row r="73" spans="1:30">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row>
    <row r="74" spans="1:30">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row>
    <row r="75" spans="1:30">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row>
    <row r="76" spans="1:30">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row>
    <row r="77" spans="1:30">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row>
    <row r="78" spans="1:30">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row>
    <row r="79" spans="1:30">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row>
    <row r="80" spans="1:30">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row>
    <row r="81" spans="1:30">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row>
    <row r="82" spans="1:30">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row>
    <row r="83" spans="1:30">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row>
    <row r="84" spans="1:30">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row>
    <row r="85" spans="1:30">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row>
    <row r="86" spans="1:30">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row>
    <row r="87" spans="1:30">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row>
    <row r="88" spans="1:30">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row>
    <row r="89" spans="1:30">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row>
    <row r="90" spans="1:30">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row>
  </sheetData>
  <mergeCells count="44">
    <mergeCell ref="A51:R51"/>
    <mergeCell ref="A44:C44"/>
    <mergeCell ref="D44:J44"/>
    <mergeCell ref="K44:M44"/>
    <mergeCell ref="N44:R44"/>
    <mergeCell ref="A46:R49"/>
    <mergeCell ref="A42:C42"/>
    <mergeCell ref="D42:J42"/>
    <mergeCell ref="K42:M42"/>
    <mergeCell ref="N42:R42"/>
    <mergeCell ref="A43:C43"/>
    <mergeCell ref="D43:J43"/>
    <mergeCell ref="K43:M43"/>
    <mergeCell ref="N43:R43"/>
    <mergeCell ref="A40:C40"/>
    <mergeCell ref="D40:J40"/>
    <mergeCell ref="K40:M40"/>
    <mergeCell ref="N40:R40"/>
    <mergeCell ref="A41:C41"/>
    <mergeCell ref="D41:J41"/>
    <mergeCell ref="K41:M41"/>
    <mergeCell ref="N41:R41"/>
    <mergeCell ref="A38:R38"/>
    <mergeCell ref="A39:C39"/>
    <mergeCell ref="D39:J39"/>
    <mergeCell ref="K39:M39"/>
    <mergeCell ref="N39:R39"/>
    <mergeCell ref="A29:R29"/>
    <mergeCell ref="A31:D36"/>
    <mergeCell ref="E31:H36"/>
    <mergeCell ref="I31:M36"/>
    <mergeCell ref="N31:R36"/>
    <mergeCell ref="A20:R20"/>
    <mergeCell ref="A22:D27"/>
    <mergeCell ref="E22:H27"/>
    <mergeCell ref="I22:M27"/>
    <mergeCell ref="N22:R27"/>
    <mergeCell ref="A1:G1"/>
    <mergeCell ref="H1:R1"/>
    <mergeCell ref="A2:R2"/>
    <mergeCell ref="A3:R3"/>
    <mergeCell ref="A6:F18"/>
    <mergeCell ref="G6:R10"/>
    <mergeCell ref="G12:R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0"/>
  <sheetViews>
    <sheetView workbookViewId="0">
      <selection activeCell="A6" sqref="A6:F22"/>
    </sheetView>
  </sheetViews>
  <sheetFormatPr defaultRowHeight="14"/>
  <cols>
    <col min="1" max="6" width="14" customWidth="1"/>
    <col min="7" max="9" width="13" customWidth="1"/>
    <col min="10" max="10" width="28" customWidth="1"/>
    <col min="11" max="16" width="13" customWidth="1"/>
    <col min="17" max="17" width="12" customWidth="1"/>
    <col min="18" max="18" width="27" customWidth="1"/>
  </cols>
  <sheetData>
    <row r="1" spans="1:30" ht="14.65" customHeight="1">
      <c r="A1" s="103" t="s">
        <v>0</v>
      </c>
      <c r="B1" s="103"/>
      <c r="C1" s="103"/>
      <c r="D1" s="103"/>
      <c r="E1" s="103"/>
      <c r="F1" s="103"/>
      <c r="G1" s="103"/>
      <c r="H1" s="104" t="s">
        <v>1</v>
      </c>
      <c r="I1" s="104"/>
      <c r="J1" s="104"/>
      <c r="K1" s="104"/>
      <c r="L1" s="104"/>
      <c r="M1" s="104"/>
      <c r="N1" s="104"/>
      <c r="O1" s="104"/>
      <c r="P1" s="104"/>
      <c r="Q1" s="104"/>
      <c r="R1" s="104"/>
      <c r="S1" s="4"/>
      <c r="T1" s="4"/>
      <c r="U1" s="4"/>
      <c r="V1" s="4"/>
      <c r="W1" s="4"/>
      <c r="X1" s="4"/>
      <c r="Y1" s="4"/>
      <c r="Z1" s="4"/>
      <c r="AA1" s="4"/>
      <c r="AB1" s="4"/>
      <c r="AC1" s="4"/>
      <c r="AD1" s="4"/>
    </row>
    <row r="2" spans="1:30" ht="25.4" customHeight="1">
      <c r="A2" s="105" t="s">
        <v>43</v>
      </c>
      <c r="B2" s="105"/>
      <c r="C2" s="105"/>
      <c r="D2" s="105"/>
      <c r="E2" s="105"/>
      <c r="F2" s="105"/>
      <c r="G2" s="105"/>
      <c r="H2" s="105"/>
      <c r="I2" s="105"/>
      <c r="J2" s="105"/>
      <c r="K2" s="105"/>
      <c r="L2" s="105"/>
      <c r="M2" s="105"/>
      <c r="N2" s="105"/>
      <c r="O2" s="105"/>
      <c r="P2" s="105"/>
      <c r="Q2" s="105"/>
      <c r="R2" s="105"/>
      <c r="S2" s="4"/>
      <c r="T2" s="4"/>
      <c r="U2" s="4"/>
      <c r="V2" s="4"/>
      <c r="W2" s="4"/>
      <c r="X2" s="4"/>
      <c r="Y2" s="4"/>
      <c r="Z2" s="4"/>
      <c r="AA2" s="4"/>
      <c r="AB2" s="4"/>
      <c r="AC2" s="4"/>
      <c r="AD2" s="4"/>
    </row>
    <row r="3" spans="1:30" ht="14.65" customHeight="1">
      <c r="A3" s="106" t="s">
        <v>44</v>
      </c>
      <c r="B3" s="106"/>
      <c r="C3" s="106"/>
      <c r="D3" s="106"/>
      <c r="E3" s="106"/>
      <c r="F3" s="106"/>
      <c r="G3" s="106"/>
      <c r="H3" s="106"/>
      <c r="I3" s="106"/>
      <c r="J3" s="106"/>
      <c r="K3" s="106"/>
      <c r="L3" s="106"/>
      <c r="M3" s="106"/>
      <c r="N3" s="106"/>
      <c r="O3" s="106"/>
      <c r="P3" s="106"/>
      <c r="Q3" s="106"/>
      <c r="R3" s="106"/>
      <c r="S3" s="4"/>
      <c r="T3" s="4"/>
      <c r="U3" s="4"/>
      <c r="V3" s="4"/>
      <c r="W3" s="4"/>
      <c r="X3" s="4"/>
      <c r="Y3" s="4"/>
      <c r="Z3" s="4"/>
      <c r="AA3" s="4"/>
      <c r="AB3" s="4"/>
      <c r="AC3" s="4"/>
      <c r="AD3" s="4"/>
    </row>
    <row r="4" spans="1:30" ht="3.4" customHeight="1">
      <c r="A4" s="5"/>
      <c r="B4" s="5"/>
      <c r="C4" s="5"/>
      <c r="D4" s="5"/>
      <c r="E4" s="5"/>
      <c r="F4" s="5"/>
      <c r="G4" s="5"/>
      <c r="H4" s="5"/>
      <c r="I4" s="5"/>
      <c r="J4" s="5"/>
      <c r="K4" s="5"/>
      <c r="L4" s="5"/>
      <c r="M4" s="5"/>
      <c r="N4" s="5"/>
      <c r="O4" s="5"/>
      <c r="P4" s="5"/>
      <c r="Q4" s="5"/>
      <c r="R4" s="5"/>
      <c r="S4" s="4"/>
      <c r="T4" s="4"/>
      <c r="U4" s="4"/>
      <c r="V4" s="4"/>
      <c r="W4" s="4"/>
      <c r="X4" s="4"/>
      <c r="Y4" s="4"/>
      <c r="Z4" s="4"/>
      <c r="AA4" s="4"/>
      <c r="AB4" s="4"/>
      <c r="AC4" s="4"/>
      <c r="AD4" s="4"/>
    </row>
    <row r="5" spans="1:30">
      <c r="A5" s="4"/>
      <c r="B5" s="4"/>
      <c r="C5" s="4"/>
      <c r="D5" s="4"/>
      <c r="E5" s="4"/>
      <c r="F5" s="4"/>
      <c r="G5" s="4"/>
      <c r="H5" s="4"/>
      <c r="I5" s="4"/>
      <c r="J5" s="4"/>
      <c r="K5" s="4"/>
      <c r="L5" s="4"/>
      <c r="M5" s="4"/>
      <c r="N5" s="4"/>
      <c r="O5" s="4"/>
      <c r="P5" s="4"/>
      <c r="Q5" s="4"/>
      <c r="R5" s="4"/>
      <c r="S5" s="4"/>
      <c r="T5" s="4"/>
      <c r="U5" s="4"/>
      <c r="V5" s="4"/>
      <c r="W5" s="4"/>
      <c r="X5" s="4"/>
      <c r="Y5" s="4"/>
      <c r="Z5" s="4"/>
      <c r="AA5" s="4"/>
      <c r="AB5" s="4"/>
      <c r="AC5" s="4"/>
      <c r="AD5" s="4"/>
    </row>
    <row r="6" spans="1:30" ht="14.65" customHeight="1">
      <c r="A6" s="221" t="s">
        <v>45</v>
      </c>
      <c r="B6" s="221"/>
      <c r="C6" s="221"/>
      <c r="D6" s="221"/>
      <c r="E6" s="221"/>
      <c r="F6" s="221"/>
      <c r="G6" s="222" t="s">
        <v>46</v>
      </c>
      <c r="H6" s="222"/>
      <c r="I6" s="222"/>
      <c r="J6" s="222" t="s">
        <v>47</v>
      </c>
      <c r="K6" s="222"/>
      <c r="L6" s="222"/>
      <c r="M6" s="222" t="s">
        <v>48</v>
      </c>
      <c r="N6" s="222"/>
      <c r="O6" s="222"/>
      <c r="P6" s="222" t="s">
        <v>49</v>
      </c>
      <c r="Q6" s="222"/>
      <c r="R6" s="222"/>
      <c r="S6" s="4"/>
      <c r="T6" s="4"/>
      <c r="U6" s="4"/>
      <c r="V6" s="4"/>
      <c r="W6" s="4"/>
      <c r="X6" s="4"/>
      <c r="Y6" s="4"/>
      <c r="Z6" s="4"/>
      <c r="AA6" s="4"/>
      <c r="AB6" s="4"/>
      <c r="AC6" s="4"/>
      <c r="AD6" s="4"/>
    </row>
    <row r="7" spans="1:30" ht="14.65" customHeight="1">
      <c r="A7" s="221"/>
      <c r="B7" s="221"/>
      <c r="C7" s="221"/>
      <c r="D7" s="221"/>
      <c r="E7" s="221"/>
      <c r="F7" s="221"/>
      <c r="G7" s="222"/>
      <c r="H7" s="222"/>
      <c r="I7" s="222"/>
      <c r="J7" s="222"/>
      <c r="K7" s="222"/>
      <c r="L7" s="222"/>
      <c r="M7" s="222"/>
      <c r="N7" s="222"/>
      <c r="O7" s="222"/>
      <c r="P7" s="222"/>
      <c r="Q7" s="222"/>
      <c r="R7" s="222"/>
      <c r="S7" s="4"/>
      <c r="T7" s="4"/>
      <c r="U7" s="4"/>
      <c r="V7" s="4"/>
      <c r="W7" s="4"/>
      <c r="X7" s="4"/>
      <c r="Y7" s="4"/>
      <c r="Z7" s="4"/>
      <c r="AA7" s="4"/>
      <c r="AB7" s="4"/>
      <c r="AC7" s="4"/>
      <c r="AD7" s="4"/>
    </row>
    <row r="8" spans="1:30">
      <c r="A8" s="221"/>
      <c r="B8" s="221"/>
      <c r="C8" s="221"/>
      <c r="D8" s="221"/>
      <c r="E8" s="221"/>
      <c r="F8" s="221"/>
      <c r="G8" s="223">
        <v>7.6</v>
      </c>
      <c r="H8" s="224"/>
      <c r="I8" s="225"/>
      <c r="J8" s="223">
        <v>8.1999999999999993</v>
      </c>
      <c r="K8" s="224"/>
      <c r="L8" s="225"/>
      <c r="M8" s="223">
        <v>7.85</v>
      </c>
      <c r="N8" s="224"/>
      <c r="O8" s="225"/>
      <c r="P8" s="232">
        <v>23800</v>
      </c>
      <c r="Q8" s="224"/>
      <c r="R8" s="225"/>
      <c r="S8" s="4"/>
      <c r="T8" s="4"/>
      <c r="U8" s="4"/>
      <c r="V8" s="4"/>
      <c r="W8" s="4"/>
      <c r="X8" s="4"/>
      <c r="Y8" s="4"/>
      <c r="Z8" s="4"/>
      <c r="AA8" s="4"/>
      <c r="AB8" s="4"/>
      <c r="AC8" s="4"/>
      <c r="AD8" s="4"/>
    </row>
    <row r="9" spans="1:30">
      <c r="A9" s="221"/>
      <c r="B9" s="221"/>
      <c r="C9" s="221"/>
      <c r="D9" s="221"/>
      <c r="E9" s="221"/>
      <c r="F9" s="221"/>
      <c r="G9" s="226"/>
      <c r="H9" s="227"/>
      <c r="I9" s="228"/>
      <c r="J9" s="226"/>
      <c r="K9" s="227"/>
      <c r="L9" s="228"/>
      <c r="M9" s="226"/>
      <c r="N9" s="227"/>
      <c r="O9" s="228"/>
      <c r="P9" s="226"/>
      <c r="Q9" s="227"/>
      <c r="R9" s="228"/>
      <c r="S9" s="4"/>
      <c r="T9" s="4"/>
      <c r="U9" s="4"/>
      <c r="V9" s="4"/>
      <c r="W9" s="4"/>
      <c r="X9" s="4"/>
      <c r="Y9" s="4"/>
      <c r="Z9" s="4"/>
      <c r="AA9" s="4"/>
      <c r="AB9" s="4"/>
      <c r="AC9" s="4"/>
      <c r="AD9" s="4"/>
    </row>
    <row r="10" spans="1:30">
      <c r="A10" s="221"/>
      <c r="B10" s="221"/>
      <c r="C10" s="221"/>
      <c r="D10" s="221"/>
      <c r="E10" s="221"/>
      <c r="F10" s="221"/>
      <c r="G10" s="229"/>
      <c r="H10" s="230"/>
      <c r="I10" s="231"/>
      <c r="J10" s="229"/>
      <c r="K10" s="230"/>
      <c r="L10" s="231"/>
      <c r="M10" s="229"/>
      <c r="N10" s="230"/>
      <c r="O10" s="231"/>
      <c r="P10" s="229"/>
      <c r="Q10" s="230"/>
      <c r="R10" s="231"/>
      <c r="S10" s="4"/>
      <c r="T10" s="4"/>
      <c r="U10" s="4"/>
      <c r="V10" s="4"/>
      <c r="W10" s="4"/>
      <c r="X10" s="4"/>
      <c r="Y10" s="4"/>
      <c r="Z10" s="4"/>
      <c r="AA10" s="4"/>
      <c r="AB10" s="4"/>
      <c r="AC10" s="4"/>
      <c r="AD10" s="4"/>
    </row>
    <row r="11" spans="1:30">
      <c r="A11" s="221"/>
      <c r="B11" s="221"/>
      <c r="C11" s="221"/>
      <c r="D11" s="221"/>
      <c r="E11" s="221"/>
      <c r="F11" s="221"/>
      <c r="G11" s="4"/>
      <c r="H11" s="4"/>
      <c r="I11" s="4"/>
      <c r="J11" s="4"/>
      <c r="K11" s="4"/>
      <c r="L11" s="4"/>
      <c r="M11" s="4"/>
      <c r="N11" s="4"/>
      <c r="O11" s="4"/>
      <c r="P11" s="4"/>
      <c r="Q11" s="4"/>
      <c r="R11" s="4"/>
      <c r="S11" s="4"/>
      <c r="T11" s="4"/>
      <c r="U11" s="4"/>
      <c r="V11" s="4"/>
      <c r="W11" s="4"/>
      <c r="X11" s="4"/>
      <c r="Y11" s="4"/>
      <c r="Z11" s="4"/>
      <c r="AA11" s="4"/>
      <c r="AB11" s="4"/>
      <c r="AC11" s="4"/>
      <c r="AD11" s="4"/>
    </row>
    <row r="12" spans="1:30" ht="14.65" customHeight="1">
      <c r="A12" s="221"/>
      <c r="B12" s="221"/>
      <c r="C12" s="221"/>
      <c r="D12" s="221"/>
      <c r="E12" s="221"/>
      <c r="F12" s="221"/>
      <c r="G12" s="222" t="s">
        <v>50</v>
      </c>
      <c r="H12" s="222"/>
      <c r="I12" s="222"/>
      <c r="J12" s="222" t="s">
        <v>51</v>
      </c>
      <c r="K12" s="222"/>
      <c r="L12" s="222"/>
      <c r="M12" s="222" t="s">
        <v>52</v>
      </c>
      <c r="N12" s="222"/>
      <c r="O12" s="222"/>
      <c r="P12" s="222" t="s">
        <v>53</v>
      </c>
      <c r="Q12" s="222"/>
      <c r="R12" s="222"/>
      <c r="S12" s="4"/>
      <c r="T12" s="4"/>
      <c r="U12" s="4"/>
      <c r="V12" s="4"/>
      <c r="W12" s="4"/>
      <c r="X12" s="4"/>
      <c r="Y12" s="4"/>
      <c r="Z12" s="4"/>
      <c r="AA12" s="4"/>
      <c r="AB12" s="4"/>
      <c r="AC12" s="4"/>
      <c r="AD12" s="4"/>
    </row>
    <row r="13" spans="1:30" ht="14.65" customHeight="1">
      <c r="A13" s="221"/>
      <c r="B13" s="221"/>
      <c r="C13" s="221"/>
      <c r="D13" s="221"/>
      <c r="E13" s="221"/>
      <c r="F13" s="221"/>
      <c r="G13" s="222"/>
      <c r="H13" s="222"/>
      <c r="I13" s="222"/>
      <c r="J13" s="222"/>
      <c r="K13" s="222"/>
      <c r="L13" s="222"/>
      <c r="M13" s="222"/>
      <c r="N13" s="222"/>
      <c r="O13" s="222"/>
      <c r="P13" s="222"/>
      <c r="Q13" s="222"/>
      <c r="R13" s="222"/>
      <c r="S13" s="4"/>
      <c r="T13" s="4"/>
      <c r="U13" s="4"/>
      <c r="V13" s="4"/>
      <c r="W13" s="4"/>
      <c r="X13" s="4"/>
      <c r="Y13" s="4"/>
      <c r="Z13" s="4"/>
      <c r="AA13" s="4"/>
      <c r="AB13" s="4"/>
      <c r="AC13" s="4"/>
      <c r="AD13" s="4"/>
    </row>
    <row r="14" spans="1:30">
      <c r="A14" s="221"/>
      <c r="B14" s="221"/>
      <c r="C14" s="221"/>
      <c r="D14" s="221"/>
      <c r="E14" s="221"/>
      <c r="F14" s="221"/>
      <c r="G14" s="232">
        <v>28</v>
      </c>
      <c r="H14" s="224"/>
      <c r="I14" s="225"/>
      <c r="J14" s="232">
        <v>265000</v>
      </c>
      <c r="K14" s="224"/>
      <c r="L14" s="225"/>
      <c r="M14" s="233">
        <v>0.17</v>
      </c>
      <c r="N14" s="224"/>
      <c r="O14" s="225"/>
      <c r="P14" s="223">
        <v>0.77</v>
      </c>
      <c r="Q14" s="224"/>
      <c r="R14" s="225"/>
      <c r="S14" s="4"/>
      <c r="T14" s="4"/>
      <c r="U14" s="4"/>
      <c r="V14" s="4"/>
      <c r="W14" s="4"/>
      <c r="X14" s="4"/>
      <c r="Y14" s="4"/>
      <c r="Z14" s="4"/>
      <c r="AA14" s="4"/>
      <c r="AB14" s="4"/>
      <c r="AC14" s="4"/>
      <c r="AD14" s="4"/>
    </row>
    <row r="15" spans="1:30">
      <c r="A15" s="221"/>
      <c r="B15" s="221"/>
      <c r="C15" s="221"/>
      <c r="D15" s="221"/>
      <c r="E15" s="221"/>
      <c r="F15" s="221"/>
      <c r="G15" s="226"/>
      <c r="H15" s="227"/>
      <c r="I15" s="228"/>
      <c r="J15" s="226"/>
      <c r="K15" s="227"/>
      <c r="L15" s="228"/>
      <c r="M15" s="226"/>
      <c r="N15" s="227"/>
      <c r="O15" s="228"/>
      <c r="P15" s="226"/>
      <c r="Q15" s="227"/>
      <c r="R15" s="228"/>
      <c r="S15" s="4"/>
      <c r="T15" s="4"/>
      <c r="U15" s="4"/>
      <c r="V15" s="4"/>
      <c r="W15" s="4"/>
      <c r="X15" s="4"/>
      <c r="Y15" s="4"/>
      <c r="Z15" s="4"/>
      <c r="AA15" s="4"/>
      <c r="AB15" s="4"/>
      <c r="AC15" s="4"/>
      <c r="AD15" s="4"/>
    </row>
    <row r="16" spans="1:30">
      <c r="A16" s="221"/>
      <c r="B16" s="221"/>
      <c r="C16" s="221"/>
      <c r="D16" s="221"/>
      <c r="E16" s="221"/>
      <c r="F16" s="221"/>
      <c r="G16" s="229"/>
      <c r="H16" s="230"/>
      <c r="I16" s="231"/>
      <c r="J16" s="229"/>
      <c r="K16" s="230"/>
      <c r="L16" s="231"/>
      <c r="M16" s="229"/>
      <c r="N16" s="230"/>
      <c r="O16" s="231"/>
      <c r="P16" s="229"/>
      <c r="Q16" s="230"/>
      <c r="R16" s="231"/>
      <c r="S16" s="4"/>
      <c r="T16" s="4"/>
      <c r="U16" s="4"/>
      <c r="V16" s="4"/>
      <c r="W16" s="4"/>
      <c r="X16" s="4"/>
      <c r="Y16" s="4"/>
      <c r="Z16" s="4"/>
      <c r="AA16" s="4"/>
      <c r="AB16" s="4"/>
      <c r="AC16" s="4"/>
      <c r="AD16" s="4"/>
    </row>
    <row r="17" spans="1:30">
      <c r="A17" s="221"/>
      <c r="B17" s="221"/>
      <c r="C17" s="221"/>
      <c r="D17" s="221"/>
      <c r="E17" s="221"/>
      <c r="F17" s="221"/>
      <c r="G17" s="4"/>
      <c r="H17" s="4"/>
      <c r="I17" s="4"/>
      <c r="J17" s="4"/>
      <c r="K17" s="4"/>
      <c r="L17" s="4"/>
      <c r="M17" s="4"/>
      <c r="N17" s="4"/>
      <c r="O17" s="4"/>
      <c r="P17" s="4"/>
      <c r="Q17" s="4"/>
      <c r="R17" s="4"/>
      <c r="S17" s="4"/>
      <c r="T17" s="4"/>
      <c r="U17" s="4"/>
      <c r="V17" s="4"/>
      <c r="W17" s="4"/>
      <c r="X17" s="4"/>
      <c r="Y17" s="4"/>
      <c r="Z17" s="4"/>
      <c r="AA17" s="4"/>
      <c r="AB17" s="4"/>
      <c r="AC17" s="4"/>
      <c r="AD17" s="4"/>
    </row>
    <row r="18" spans="1:30">
      <c r="A18" s="221"/>
      <c r="B18" s="221"/>
      <c r="C18" s="221"/>
      <c r="D18" s="221"/>
      <c r="E18" s="221"/>
      <c r="F18" s="221"/>
      <c r="G18" s="234" t="s">
        <v>54</v>
      </c>
      <c r="H18" s="235"/>
      <c r="I18" s="235"/>
      <c r="J18" s="235"/>
      <c r="K18" s="235"/>
      <c r="L18" s="235"/>
      <c r="M18" s="235"/>
      <c r="N18" s="235"/>
      <c r="O18" s="235"/>
      <c r="P18" s="235"/>
      <c r="Q18" s="235"/>
      <c r="R18" s="236"/>
      <c r="S18" s="4"/>
      <c r="T18" s="4"/>
      <c r="U18" s="4"/>
      <c r="V18" s="4"/>
      <c r="W18" s="4"/>
      <c r="X18" s="4"/>
      <c r="Y18" s="4"/>
      <c r="Z18" s="4"/>
      <c r="AA18" s="4"/>
      <c r="AB18" s="4"/>
      <c r="AC18" s="4"/>
      <c r="AD18" s="4"/>
    </row>
    <row r="19" spans="1:30">
      <c r="A19" s="221"/>
      <c r="B19" s="221"/>
      <c r="C19" s="221"/>
      <c r="D19" s="221"/>
      <c r="E19" s="221"/>
      <c r="F19" s="221"/>
      <c r="G19" s="237"/>
      <c r="H19" s="238"/>
      <c r="I19" s="238"/>
      <c r="J19" s="238"/>
      <c r="K19" s="238"/>
      <c r="L19" s="238"/>
      <c r="M19" s="238"/>
      <c r="N19" s="238"/>
      <c r="O19" s="238"/>
      <c r="P19" s="238"/>
      <c r="Q19" s="238"/>
      <c r="R19" s="239"/>
      <c r="S19" s="4"/>
      <c r="T19" s="4"/>
      <c r="U19" s="4"/>
      <c r="V19" s="4"/>
      <c r="W19" s="4"/>
      <c r="X19" s="4"/>
      <c r="Y19" s="4"/>
      <c r="Z19" s="4"/>
      <c r="AA19" s="4"/>
      <c r="AB19" s="4"/>
      <c r="AC19" s="4"/>
      <c r="AD19" s="4"/>
    </row>
    <row r="20" spans="1:30">
      <c r="A20" s="221"/>
      <c r="B20" s="221"/>
      <c r="C20" s="221"/>
      <c r="D20" s="221"/>
      <c r="E20" s="221"/>
      <c r="F20" s="221"/>
      <c r="G20" s="237"/>
      <c r="H20" s="238"/>
      <c r="I20" s="238"/>
      <c r="J20" s="238"/>
      <c r="K20" s="238"/>
      <c r="L20" s="238"/>
      <c r="M20" s="238"/>
      <c r="N20" s="238"/>
      <c r="O20" s="238"/>
      <c r="P20" s="238"/>
      <c r="Q20" s="238"/>
      <c r="R20" s="239"/>
      <c r="S20" s="4"/>
      <c r="T20" s="4"/>
      <c r="U20" s="4"/>
      <c r="V20" s="4"/>
      <c r="W20" s="4"/>
      <c r="X20" s="4"/>
      <c r="Y20" s="4"/>
      <c r="Z20" s="4"/>
      <c r="AA20" s="4"/>
      <c r="AB20" s="4"/>
      <c r="AC20" s="4"/>
      <c r="AD20" s="4"/>
    </row>
    <row r="21" spans="1:30">
      <c r="A21" s="221"/>
      <c r="B21" s="221"/>
      <c r="C21" s="221"/>
      <c r="D21" s="221"/>
      <c r="E21" s="221"/>
      <c r="F21" s="221"/>
      <c r="G21" s="237"/>
      <c r="H21" s="238"/>
      <c r="I21" s="238"/>
      <c r="J21" s="238"/>
      <c r="K21" s="238"/>
      <c r="L21" s="238"/>
      <c r="M21" s="238"/>
      <c r="N21" s="238"/>
      <c r="O21" s="238"/>
      <c r="P21" s="238"/>
      <c r="Q21" s="238"/>
      <c r="R21" s="239"/>
      <c r="S21" s="4"/>
      <c r="T21" s="4"/>
      <c r="U21" s="4"/>
      <c r="V21" s="4"/>
      <c r="W21" s="4"/>
      <c r="X21" s="4"/>
      <c r="Y21" s="4"/>
      <c r="Z21" s="4"/>
      <c r="AA21" s="4"/>
      <c r="AB21" s="4"/>
      <c r="AC21" s="4"/>
      <c r="AD21" s="4"/>
    </row>
    <row r="22" spans="1:30">
      <c r="A22" s="221"/>
      <c r="B22" s="221"/>
      <c r="C22" s="221"/>
      <c r="D22" s="221"/>
      <c r="E22" s="221"/>
      <c r="F22" s="221"/>
      <c r="G22" s="240"/>
      <c r="H22" s="241"/>
      <c r="I22" s="241"/>
      <c r="J22" s="241"/>
      <c r="K22" s="241"/>
      <c r="L22" s="241"/>
      <c r="M22" s="241"/>
      <c r="N22" s="241"/>
      <c r="O22" s="241"/>
      <c r="P22" s="241"/>
      <c r="Q22" s="241"/>
      <c r="R22" s="242"/>
      <c r="S22" s="4"/>
      <c r="T22" s="4"/>
      <c r="U22" s="4"/>
      <c r="V22" s="4"/>
      <c r="W22" s="4"/>
      <c r="X22" s="4"/>
      <c r="Y22" s="4"/>
      <c r="Z22" s="4"/>
      <c r="AA22" s="4"/>
      <c r="AB22" s="4"/>
      <c r="AC22" s="4"/>
      <c r="AD22" s="4"/>
    </row>
    <row r="23" spans="1:30">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row>
    <row r="24" spans="1:30" ht="16" customHeight="1">
      <c r="A24" s="125" t="s">
        <v>55</v>
      </c>
      <c r="B24" s="125"/>
      <c r="C24" s="125"/>
      <c r="D24" s="125"/>
      <c r="E24" s="125"/>
      <c r="F24" s="125"/>
      <c r="G24" s="125"/>
      <c r="H24" s="125"/>
      <c r="I24" s="125"/>
      <c r="J24" s="125"/>
      <c r="K24" s="125"/>
      <c r="L24" s="125"/>
      <c r="M24" s="125"/>
      <c r="N24" s="125"/>
      <c r="O24" s="125"/>
      <c r="P24" s="125"/>
      <c r="Q24" s="125"/>
      <c r="R24" s="125"/>
      <c r="S24" s="4"/>
      <c r="T24" s="4"/>
      <c r="U24" s="4"/>
      <c r="V24" s="4"/>
      <c r="W24" s="4"/>
      <c r="X24" s="4"/>
      <c r="Y24" s="4"/>
      <c r="Z24" s="4"/>
      <c r="AA24" s="4"/>
      <c r="AB24" s="4"/>
      <c r="AC24" s="4"/>
      <c r="AD24" s="4"/>
    </row>
    <row r="25" spans="1:30" ht="25.4" customHeight="1">
      <c r="A25" s="1" t="s">
        <v>56</v>
      </c>
      <c r="B25" s="2" t="s">
        <v>57</v>
      </c>
      <c r="C25" s="2" t="s">
        <v>58</v>
      </c>
      <c r="D25" s="2" t="s">
        <v>59</v>
      </c>
      <c r="E25" s="2" t="s">
        <v>60</v>
      </c>
      <c r="F25" s="2" t="s">
        <v>61</v>
      </c>
      <c r="G25" s="2" t="s">
        <v>62</v>
      </c>
      <c r="H25" s="3" t="s">
        <v>63</v>
      </c>
      <c r="I25" s="4"/>
      <c r="J25" s="12" t="s">
        <v>64</v>
      </c>
      <c r="K25" s="13" t="s">
        <v>65</v>
      </c>
      <c r="L25" s="13" t="s">
        <v>47</v>
      </c>
      <c r="M25" s="13" t="s">
        <v>48</v>
      </c>
      <c r="N25" s="13" t="s">
        <v>66</v>
      </c>
      <c r="O25" s="13" t="s">
        <v>67</v>
      </c>
      <c r="P25" s="13" t="s">
        <v>68</v>
      </c>
      <c r="Q25" s="13" t="s">
        <v>69</v>
      </c>
      <c r="R25" s="14" t="s">
        <v>70</v>
      </c>
      <c r="S25" s="4"/>
      <c r="T25" s="4"/>
      <c r="U25" s="4"/>
      <c r="V25" s="4"/>
      <c r="W25" s="4"/>
      <c r="X25" s="4"/>
      <c r="Y25" s="4"/>
      <c r="Z25" s="4"/>
      <c r="AA25" s="4"/>
      <c r="AB25" s="4"/>
      <c r="AC25" s="4"/>
      <c r="AD25" s="4"/>
    </row>
    <row r="26" spans="1:30" ht="46">
      <c r="A26" s="15" t="s">
        <v>71</v>
      </c>
      <c r="B26" s="16">
        <v>2.7</v>
      </c>
      <c r="C26" s="17">
        <v>0.34399999999999997</v>
      </c>
      <c r="D26" s="6" t="s">
        <v>72</v>
      </c>
      <c r="E26" s="6" t="s">
        <v>73</v>
      </c>
      <c r="F26" s="6" t="s">
        <v>74</v>
      </c>
      <c r="G26" s="6" t="s">
        <v>75</v>
      </c>
      <c r="H26" s="7" t="s">
        <v>76</v>
      </c>
      <c r="I26" s="4"/>
      <c r="J26" s="15" t="s">
        <v>77</v>
      </c>
      <c r="K26" s="17">
        <v>0.03</v>
      </c>
      <c r="L26" s="17">
        <v>0.05</v>
      </c>
      <c r="M26" s="17">
        <v>-2.5000000000000001E-2</v>
      </c>
      <c r="N26" s="17">
        <v>0.06</v>
      </c>
      <c r="O26" s="17">
        <v>0.11</v>
      </c>
      <c r="P26" s="17">
        <v>-0.03</v>
      </c>
      <c r="Q26" s="6" t="s">
        <v>78</v>
      </c>
      <c r="R26" s="7" t="s">
        <v>79</v>
      </c>
      <c r="S26" s="4"/>
      <c r="T26" s="4"/>
      <c r="U26" s="4"/>
      <c r="V26" s="4"/>
      <c r="W26" s="4"/>
      <c r="X26" s="4"/>
      <c r="Y26" s="4"/>
      <c r="Z26" s="4"/>
      <c r="AA26" s="4"/>
      <c r="AB26" s="4"/>
      <c r="AC26" s="4"/>
      <c r="AD26" s="4"/>
    </row>
    <row r="27" spans="1:30" ht="46">
      <c r="A27" s="18" t="s">
        <v>80</v>
      </c>
      <c r="B27" s="19">
        <v>1.95</v>
      </c>
      <c r="C27" s="20">
        <v>0.248</v>
      </c>
      <c r="D27" s="8" t="s">
        <v>81</v>
      </c>
      <c r="E27" s="8" t="s">
        <v>82</v>
      </c>
      <c r="F27" s="8" t="s">
        <v>74</v>
      </c>
      <c r="G27" s="8" t="s">
        <v>83</v>
      </c>
      <c r="H27" s="9" t="s">
        <v>84</v>
      </c>
      <c r="I27" s="4"/>
      <c r="J27" s="18" t="s">
        <v>85</v>
      </c>
      <c r="K27" s="20">
        <v>0.08</v>
      </c>
      <c r="L27" s="20">
        <v>0.1</v>
      </c>
      <c r="M27" s="20">
        <v>0.06</v>
      </c>
      <c r="N27" s="20">
        <v>0.1</v>
      </c>
      <c r="O27" s="20">
        <v>0.15</v>
      </c>
      <c r="P27" s="20">
        <v>0.03</v>
      </c>
      <c r="Q27" s="8" t="s">
        <v>78</v>
      </c>
      <c r="R27" s="9" t="s">
        <v>86</v>
      </c>
      <c r="S27" s="4"/>
      <c r="T27" s="4"/>
      <c r="U27" s="4"/>
      <c r="V27" s="4"/>
      <c r="W27" s="4"/>
      <c r="X27" s="4"/>
      <c r="Y27" s="4"/>
      <c r="Z27" s="4"/>
      <c r="AA27" s="4"/>
      <c r="AB27" s="4"/>
      <c r="AC27" s="4"/>
      <c r="AD27" s="4"/>
    </row>
    <row r="28" spans="1:30" ht="57.5">
      <c r="A28" s="18" t="s">
        <v>87</v>
      </c>
      <c r="B28" s="19">
        <v>1.38</v>
      </c>
      <c r="C28" s="20">
        <v>0.17599999999999999</v>
      </c>
      <c r="D28" s="8" t="s">
        <v>88</v>
      </c>
      <c r="E28" s="8" t="s">
        <v>89</v>
      </c>
      <c r="F28" s="8" t="s">
        <v>90</v>
      </c>
      <c r="G28" s="8" t="s">
        <v>91</v>
      </c>
      <c r="H28" s="9" t="s">
        <v>92</v>
      </c>
      <c r="I28" s="4"/>
      <c r="J28" s="18" t="s">
        <v>93</v>
      </c>
      <c r="K28" s="20">
        <v>0.12</v>
      </c>
      <c r="L28" s="20">
        <v>0.15</v>
      </c>
      <c r="M28" s="20">
        <v>0.14000000000000001</v>
      </c>
      <c r="N28" s="20">
        <v>0.18</v>
      </c>
      <c r="O28" s="20">
        <v>0.23</v>
      </c>
      <c r="P28" s="20">
        <v>0.1</v>
      </c>
      <c r="Q28" s="8" t="s">
        <v>78</v>
      </c>
      <c r="R28" s="9" t="s">
        <v>94</v>
      </c>
      <c r="S28" s="4"/>
      <c r="T28" s="4"/>
      <c r="U28" s="4"/>
      <c r="V28" s="4"/>
      <c r="W28" s="4"/>
      <c r="X28" s="4"/>
      <c r="Y28" s="4"/>
      <c r="Z28" s="4"/>
      <c r="AA28" s="4"/>
      <c r="AB28" s="4"/>
      <c r="AC28" s="4"/>
      <c r="AD28" s="4"/>
    </row>
    <row r="29" spans="1:30" ht="46">
      <c r="A29" s="18" t="s">
        <v>95</v>
      </c>
      <c r="B29" s="19">
        <v>1.82</v>
      </c>
      <c r="C29" s="20">
        <v>0.23200000000000001</v>
      </c>
      <c r="D29" s="8" t="s">
        <v>96</v>
      </c>
      <c r="E29" s="8" t="s">
        <v>97</v>
      </c>
      <c r="F29" s="8" t="s">
        <v>98</v>
      </c>
      <c r="G29" s="8" t="s">
        <v>99</v>
      </c>
      <c r="H29" s="9" t="s">
        <v>100</v>
      </c>
      <c r="I29" s="4"/>
      <c r="J29" s="18" t="s">
        <v>101</v>
      </c>
      <c r="K29" s="20">
        <v>0.76</v>
      </c>
      <c r="L29" s="20">
        <v>0.79</v>
      </c>
      <c r="M29" s="20">
        <v>0.77</v>
      </c>
      <c r="N29" s="20">
        <v>0.78</v>
      </c>
      <c r="O29" s="20">
        <v>0.8</v>
      </c>
      <c r="P29" s="20">
        <v>0.75</v>
      </c>
      <c r="Q29" s="8" t="s">
        <v>78</v>
      </c>
      <c r="R29" s="9" t="s">
        <v>102</v>
      </c>
      <c r="S29" s="4"/>
      <c r="T29" s="4"/>
      <c r="U29" s="4"/>
      <c r="V29" s="4"/>
      <c r="W29" s="4"/>
      <c r="X29" s="4"/>
      <c r="Y29" s="4"/>
      <c r="Z29" s="4"/>
      <c r="AA29" s="4"/>
      <c r="AB29" s="4"/>
      <c r="AC29" s="4"/>
      <c r="AD29" s="4"/>
    </row>
    <row r="30" spans="1:30" ht="23">
      <c r="A30" s="21" t="s">
        <v>103</v>
      </c>
      <c r="B30" s="22">
        <v>7.85</v>
      </c>
      <c r="C30" s="23">
        <v>1</v>
      </c>
      <c r="D30" s="24"/>
      <c r="E30" s="24"/>
      <c r="F30" s="24"/>
      <c r="G30" s="24"/>
      <c r="H30" s="25"/>
      <c r="I30" s="4"/>
      <c r="J30" s="18" t="s">
        <v>104</v>
      </c>
      <c r="K30" s="26">
        <v>100</v>
      </c>
      <c r="L30" s="26">
        <v>102</v>
      </c>
      <c r="M30" s="26">
        <v>105</v>
      </c>
      <c r="N30" s="26">
        <v>111</v>
      </c>
      <c r="O30" s="26">
        <v>106</v>
      </c>
      <c r="P30" s="26">
        <v>118</v>
      </c>
      <c r="Q30" s="8" t="s">
        <v>105</v>
      </c>
      <c r="R30" s="9" t="s">
        <v>106</v>
      </c>
      <c r="S30" s="4"/>
      <c r="T30" s="4"/>
      <c r="U30" s="4"/>
      <c r="V30" s="4"/>
      <c r="W30" s="4"/>
      <c r="X30" s="4"/>
      <c r="Y30" s="4"/>
      <c r="Z30" s="4"/>
      <c r="AA30" s="4"/>
      <c r="AB30" s="4"/>
      <c r="AC30" s="4"/>
      <c r="AD30" s="4"/>
    </row>
    <row r="31" spans="1:30" ht="23">
      <c r="A31" s="4"/>
      <c r="B31" s="4"/>
      <c r="C31" s="4"/>
      <c r="D31" s="4"/>
      <c r="E31" s="4"/>
      <c r="F31" s="4"/>
      <c r="G31" s="4"/>
      <c r="H31" s="4"/>
      <c r="I31" s="4"/>
      <c r="J31" s="18" t="s">
        <v>107</v>
      </c>
      <c r="K31" s="26">
        <v>100</v>
      </c>
      <c r="L31" s="26">
        <v>103</v>
      </c>
      <c r="M31" s="26">
        <v>102</v>
      </c>
      <c r="N31" s="26">
        <v>106</v>
      </c>
      <c r="O31" s="26">
        <v>109</v>
      </c>
      <c r="P31" s="26">
        <v>102</v>
      </c>
      <c r="Q31" s="8" t="s">
        <v>105</v>
      </c>
      <c r="R31" s="9" t="s">
        <v>108</v>
      </c>
      <c r="S31" s="4"/>
      <c r="T31" s="4"/>
      <c r="U31" s="4"/>
      <c r="V31" s="4"/>
      <c r="W31" s="4"/>
      <c r="X31" s="4"/>
      <c r="Y31" s="4"/>
      <c r="Z31" s="4"/>
      <c r="AA31" s="4"/>
      <c r="AB31" s="4"/>
      <c r="AC31" s="4"/>
      <c r="AD31" s="4"/>
    </row>
    <row r="32" spans="1:30" ht="23">
      <c r="A32" s="4"/>
      <c r="B32" s="4"/>
      <c r="C32" s="4"/>
      <c r="D32" s="4"/>
      <c r="E32" s="4"/>
      <c r="F32" s="4"/>
      <c r="G32" s="4"/>
      <c r="H32" s="4"/>
      <c r="I32" s="4"/>
      <c r="J32" s="18" t="s">
        <v>109</v>
      </c>
      <c r="K32" s="27">
        <v>58</v>
      </c>
      <c r="L32" s="27">
        <v>54</v>
      </c>
      <c r="M32" s="27">
        <v>56</v>
      </c>
      <c r="N32" s="27">
        <v>52</v>
      </c>
      <c r="O32" s="27">
        <v>49</v>
      </c>
      <c r="P32" s="27">
        <v>60</v>
      </c>
      <c r="Q32" s="8" t="s">
        <v>110</v>
      </c>
      <c r="R32" s="9" t="s">
        <v>111</v>
      </c>
      <c r="S32" s="4"/>
      <c r="T32" s="4"/>
      <c r="U32" s="4"/>
      <c r="V32" s="4"/>
      <c r="W32" s="4"/>
      <c r="X32" s="4"/>
      <c r="Y32" s="4"/>
      <c r="Z32" s="4"/>
      <c r="AA32" s="4"/>
      <c r="AB32" s="4"/>
      <c r="AC32" s="4"/>
      <c r="AD32" s="4"/>
    </row>
    <row r="33" spans="1:30" ht="23">
      <c r="A33" s="4"/>
      <c r="B33" s="4"/>
      <c r="C33" s="4"/>
      <c r="D33" s="4"/>
      <c r="E33" s="4"/>
      <c r="F33" s="4"/>
      <c r="G33" s="4"/>
      <c r="H33" s="4"/>
      <c r="I33" s="4"/>
      <c r="J33" s="18" t="s">
        <v>112</v>
      </c>
      <c r="K33" s="27">
        <v>74</v>
      </c>
      <c r="L33" s="27">
        <v>68</v>
      </c>
      <c r="M33" s="27">
        <v>72</v>
      </c>
      <c r="N33" s="27">
        <v>66</v>
      </c>
      <c r="O33" s="27">
        <v>62</v>
      </c>
      <c r="P33" s="27">
        <v>78</v>
      </c>
      <c r="Q33" s="8" t="s">
        <v>110</v>
      </c>
      <c r="R33" s="9" t="s">
        <v>113</v>
      </c>
      <c r="S33" s="4"/>
      <c r="T33" s="4"/>
      <c r="U33" s="4"/>
      <c r="V33" s="4"/>
      <c r="W33" s="4"/>
      <c r="X33" s="4"/>
      <c r="Y33" s="4"/>
      <c r="Z33" s="4"/>
      <c r="AA33" s="4"/>
      <c r="AB33" s="4"/>
      <c r="AC33" s="4"/>
      <c r="AD33" s="4"/>
    </row>
    <row r="34" spans="1:30" ht="23">
      <c r="A34" s="4"/>
      <c r="B34" s="4"/>
      <c r="C34" s="4"/>
      <c r="D34" s="4"/>
      <c r="E34" s="4"/>
      <c r="F34" s="4"/>
      <c r="G34" s="4"/>
      <c r="H34" s="4"/>
      <c r="I34" s="4"/>
      <c r="J34" s="28" t="s">
        <v>114</v>
      </c>
      <c r="K34" s="29">
        <v>4.2000000000000003E-2</v>
      </c>
      <c r="L34" s="29">
        <v>4.5999999999999999E-2</v>
      </c>
      <c r="M34" s="29">
        <v>4.4999999999999998E-2</v>
      </c>
      <c r="N34" s="29">
        <v>4.8000000000000001E-2</v>
      </c>
      <c r="O34" s="29">
        <v>5.5E-2</v>
      </c>
      <c r="P34" s="29">
        <v>3.7999999999999999E-2</v>
      </c>
      <c r="Q34" s="10" t="s">
        <v>78</v>
      </c>
      <c r="R34" s="11" t="s">
        <v>115</v>
      </c>
      <c r="S34" s="4"/>
      <c r="T34" s="4"/>
      <c r="U34" s="4"/>
      <c r="V34" s="4"/>
      <c r="W34" s="4"/>
      <c r="X34" s="4"/>
      <c r="Y34" s="4"/>
      <c r="Z34" s="4"/>
      <c r="AA34" s="4"/>
      <c r="AB34" s="4"/>
      <c r="AC34" s="4"/>
      <c r="AD34" s="4"/>
    </row>
    <row r="35" spans="1:30">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row>
    <row r="36" spans="1:30" ht="16" customHeight="1">
      <c r="A36" s="195" t="s">
        <v>116</v>
      </c>
      <c r="B36" s="195"/>
      <c r="C36" s="195"/>
      <c r="D36" s="195"/>
      <c r="E36" s="195"/>
      <c r="F36" s="195"/>
      <c r="G36" s="195"/>
      <c r="H36" s="195"/>
      <c r="I36" s="195"/>
      <c r="J36" s="195"/>
      <c r="K36" s="195"/>
      <c r="L36" s="195"/>
      <c r="M36" s="195"/>
      <c r="N36" s="195"/>
      <c r="O36" s="195"/>
      <c r="P36" s="195"/>
      <c r="Q36" s="195"/>
      <c r="R36" s="195"/>
      <c r="S36" s="4"/>
      <c r="T36" s="4"/>
      <c r="U36" s="4"/>
      <c r="V36" s="4"/>
      <c r="W36" s="4"/>
      <c r="X36" s="4"/>
      <c r="Y36" s="4"/>
      <c r="Z36" s="4"/>
      <c r="AA36" s="4"/>
      <c r="AB36" s="4"/>
      <c r="AC36" s="4"/>
      <c r="AD36" s="4"/>
    </row>
    <row r="37" spans="1:30">
      <c r="A37" s="243" t="s">
        <v>117</v>
      </c>
      <c r="B37" s="244"/>
      <c r="C37" s="244"/>
      <c r="D37" s="244"/>
      <c r="E37" s="244"/>
      <c r="F37" s="244"/>
      <c r="G37" s="244"/>
      <c r="H37" s="244"/>
      <c r="I37" s="244"/>
      <c r="J37" s="244"/>
      <c r="K37" s="244"/>
      <c r="L37" s="244"/>
      <c r="M37" s="244"/>
      <c r="N37" s="244"/>
      <c r="O37" s="244"/>
      <c r="P37" s="244"/>
      <c r="Q37" s="244"/>
      <c r="R37" s="245"/>
      <c r="S37" s="4"/>
      <c r="T37" s="4"/>
      <c r="U37" s="4"/>
      <c r="V37" s="4"/>
      <c r="W37" s="4"/>
      <c r="X37" s="4"/>
      <c r="Y37" s="4"/>
      <c r="Z37" s="4"/>
      <c r="AA37" s="4"/>
      <c r="AB37" s="4"/>
      <c r="AC37" s="4"/>
      <c r="AD37" s="4"/>
    </row>
    <row r="38" spans="1:30">
      <c r="A38" s="246"/>
      <c r="B38" s="247"/>
      <c r="C38" s="247"/>
      <c r="D38" s="247"/>
      <c r="E38" s="247"/>
      <c r="F38" s="247"/>
      <c r="G38" s="247"/>
      <c r="H38" s="247"/>
      <c r="I38" s="247"/>
      <c r="J38" s="247"/>
      <c r="K38" s="247"/>
      <c r="L38" s="247"/>
      <c r="M38" s="247"/>
      <c r="N38" s="247"/>
      <c r="O38" s="247"/>
      <c r="P38" s="247"/>
      <c r="Q38" s="247"/>
      <c r="R38" s="248"/>
      <c r="S38" s="4"/>
      <c r="T38" s="4"/>
      <c r="U38" s="4"/>
      <c r="V38" s="4"/>
      <c r="W38" s="4"/>
      <c r="X38" s="4"/>
      <c r="Y38" s="4"/>
      <c r="Z38" s="4"/>
      <c r="AA38" s="4"/>
      <c r="AB38" s="4"/>
      <c r="AC38" s="4"/>
      <c r="AD38" s="4"/>
    </row>
    <row r="39" spans="1:30">
      <c r="A39" s="246"/>
      <c r="B39" s="247"/>
      <c r="C39" s="247"/>
      <c r="D39" s="247"/>
      <c r="E39" s="247"/>
      <c r="F39" s="247"/>
      <c r="G39" s="247"/>
      <c r="H39" s="247"/>
      <c r="I39" s="247"/>
      <c r="J39" s="247"/>
      <c r="K39" s="247"/>
      <c r="L39" s="247"/>
      <c r="M39" s="247"/>
      <c r="N39" s="247"/>
      <c r="O39" s="247"/>
      <c r="P39" s="247"/>
      <c r="Q39" s="247"/>
      <c r="R39" s="248"/>
      <c r="S39" s="4"/>
      <c r="T39" s="4"/>
      <c r="U39" s="4"/>
      <c r="V39" s="4"/>
      <c r="W39" s="4"/>
      <c r="X39" s="4"/>
      <c r="Y39" s="4"/>
      <c r="Z39" s="4"/>
      <c r="AA39" s="4"/>
      <c r="AB39" s="4"/>
      <c r="AC39" s="4"/>
      <c r="AD39" s="4"/>
    </row>
    <row r="40" spans="1:30">
      <c r="A40" s="246"/>
      <c r="B40" s="247"/>
      <c r="C40" s="247"/>
      <c r="D40" s="247"/>
      <c r="E40" s="247"/>
      <c r="F40" s="247"/>
      <c r="G40" s="247"/>
      <c r="H40" s="247"/>
      <c r="I40" s="247"/>
      <c r="J40" s="247"/>
      <c r="K40" s="247"/>
      <c r="L40" s="247"/>
      <c r="M40" s="247"/>
      <c r="N40" s="247"/>
      <c r="O40" s="247"/>
      <c r="P40" s="247"/>
      <c r="Q40" s="247"/>
      <c r="R40" s="248"/>
      <c r="S40" s="4"/>
      <c r="T40" s="4"/>
      <c r="U40" s="4"/>
      <c r="V40" s="4"/>
      <c r="W40" s="4"/>
      <c r="X40" s="4"/>
      <c r="Y40" s="4"/>
      <c r="Z40" s="4"/>
      <c r="AA40" s="4"/>
      <c r="AB40" s="4"/>
      <c r="AC40" s="4"/>
      <c r="AD40" s="4"/>
    </row>
    <row r="41" spans="1:30">
      <c r="A41" s="246"/>
      <c r="B41" s="247"/>
      <c r="C41" s="247"/>
      <c r="D41" s="247"/>
      <c r="E41" s="247"/>
      <c r="F41" s="247"/>
      <c r="G41" s="247"/>
      <c r="H41" s="247"/>
      <c r="I41" s="247"/>
      <c r="J41" s="247"/>
      <c r="K41" s="247"/>
      <c r="L41" s="247"/>
      <c r="M41" s="247"/>
      <c r="N41" s="247"/>
      <c r="O41" s="247"/>
      <c r="P41" s="247"/>
      <c r="Q41" s="247"/>
      <c r="R41" s="248"/>
      <c r="S41" s="4"/>
      <c r="T41" s="4"/>
      <c r="U41" s="4"/>
      <c r="V41" s="4"/>
      <c r="W41" s="4"/>
      <c r="X41" s="4"/>
      <c r="Y41" s="4"/>
      <c r="Z41" s="4"/>
      <c r="AA41" s="4"/>
      <c r="AB41" s="4"/>
      <c r="AC41" s="4"/>
      <c r="AD41" s="4"/>
    </row>
    <row r="42" spans="1:30">
      <c r="A42" s="249"/>
      <c r="B42" s="250"/>
      <c r="C42" s="250"/>
      <c r="D42" s="250"/>
      <c r="E42" s="250"/>
      <c r="F42" s="250"/>
      <c r="G42" s="250"/>
      <c r="H42" s="250"/>
      <c r="I42" s="250"/>
      <c r="J42" s="250"/>
      <c r="K42" s="250"/>
      <c r="L42" s="250"/>
      <c r="M42" s="250"/>
      <c r="N42" s="250"/>
      <c r="O42" s="250"/>
      <c r="P42" s="250"/>
      <c r="Q42" s="250"/>
      <c r="R42" s="251"/>
      <c r="S42" s="4"/>
      <c r="T42" s="4"/>
      <c r="U42" s="4"/>
      <c r="V42" s="4"/>
      <c r="W42" s="4"/>
      <c r="X42" s="4"/>
      <c r="Y42" s="4"/>
      <c r="Z42" s="4"/>
      <c r="AA42" s="4"/>
      <c r="AB42" s="4"/>
      <c r="AC42" s="4"/>
      <c r="AD42" s="4"/>
    </row>
    <row r="43" spans="1:30">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row>
    <row r="44" spans="1:30" ht="16" customHeight="1">
      <c r="A44" s="162" t="s">
        <v>118</v>
      </c>
      <c r="B44" s="162"/>
      <c r="C44" s="162"/>
      <c r="D44" s="162"/>
      <c r="E44" s="162"/>
      <c r="F44" s="162"/>
      <c r="G44" s="162"/>
      <c r="H44" s="162"/>
      <c r="I44" s="162"/>
      <c r="J44" s="162"/>
      <c r="K44" s="162"/>
      <c r="L44" s="162"/>
      <c r="M44" s="162"/>
      <c r="N44" s="162"/>
      <c r="O44" s="162"/>
      <c r="P44" s="162"/>
      <c r="Q44" s="162"/>
      <c r="R44" s="162"/>
      <c r="S44" s="4"/>
      <c r="T44" s="4"/>
      <c r="U44" s="4"/>
      <c r="V44" s="4"/>
      <c r="W44" s="4"/>
      <c r="X44" s="4"/>
      <c r="Y44" s="4"/>
      <c r="Z44" s="4"/>
      <c r="AA44" s="4"/>
      <c r="AB44" s="4"/>
      <c r="AC44" s="4"/>
      <c r="AD44" s="4"/>
    </row>
    <row r="45" spans="1:30">
      <c r="A45" s="252" t="s">
        <v>119</v>
      </c>
      <c r="B45" s="253"/>
      <c r="C45" s="253"/>
      <c r="D45" s="254"/>
      <c r="E45" s="252" t="s">
        <v>120</v>
      </c>
      <c r="F45" s="253"/>
      <c r="G45" s="253"/>
      <c r="H45" s="254"/>
      <c r="I45" s="252" t="s">
        <v>121</v>
      </c>
      <c r="J45" s="253"/>
      <c r="K45" s="253"/>
      <c r="L45" s="253"/>
      <c r="M45" s="254"/>
      <c r="N45" s="252" t="s">
        <v>122</v>
      </c>
      <c r="O45" s="253"/>
      <c r="P45" s="253"/>
      <c r="Q45" s="253"/>
      <c r="R45" s="254"/>
      <c r="S45" s="4"/>
      <c r="T45" s="4"/>
      <c r="U45" s="4"/>
      <c r="V45" s="4"/>
      <c r="W45" s="4"/>
      <c r="X45" s="4"/>
      <c r="Y45" s="4"/>
      <c r="Z45" s="4"/>
      <c r="AA45" s="4"/>
      <c r="AB45" s="4"/>
      <c r="AC45" s="4"/>
      <c r="AD45" s="4"/>
    </row>
    <row r="46" spans="1:30">
      <c r="A46" s="255"/>
      <c r="B46" s="256"/>
      <c r="C46" s="256"/>
      <c r="D46" s="257"/>
      <c r="E46" s="255"/>
      <c r="F46" s="256"/>
      <c r="G46" s="256"/>
      <c r="H46" s="257"/>
      <c r="I46" s="255"/>
      <c r="J46" s="256"/>
      <c r="K46" s="256"/>
      <c r="L46" s="256"/>
      <c r="M46" s="257"/>
      <c r="N46" s="255"/>
      <c r="O46" s="256"/>
      <c r="P46" s="256"/>
      <c r="Q46" s="256"/>
      <c r="R46" s="257"/>
      <c r="S46" s="4"/>
      <c r="T46" s="4"/>
      <c r="U46" s="4"/>
      <c r="V46" s="4"/>
      <c r="W46" s="4"/>
      <c r="X46" s="4"/>
      <c r="Y46" s="4"/>
      <c r="Z46" s="4"/>
      <c r="AA46" s="4"/>
      <c r="AB46" s="4"/>
      <c r="AC46" s="4"/>
      <c r="AD46" s="4"/>
    </row>
    <row r="47" spans="1:30">
      <c r="A47" s="255"/>
      <c r="B47" s="256"/>
      <c r="C47" s="256"/>
      <c r="D47" s="257"/>
      <c r="E47" s="255"/>
      <c r="F47" s="256"/>
      <c r="G47" s="256"/>
      <c r="H47" s="257"/>
      <c r="I47" s="255"/>
      <c r="J47" s="256"/>
      <c r="K47" s="256"/>
      <c r="L47" s="256"/>
      <c r="M47" s="257"/>
      <c r="N47" s="255"/>
      <c r="O47" s="256"/>
      <c r="P47" s="256"/>
      <c r="Q47" s="256"/>
      <c r="R47" s="257"/>
      <c r="S47" s="4"/>
      <c r="T47" s="4"/>
      <c r="U47" s="4"/>
      <c r="V47" s="4"/>
      <c r="W47" s="4"/>
      <c r="X47" s="4"/>
      <c r="Y47" s="4"/>
      <c r="Z47" s="4"/>
      <c r="AA47" s="4"/>
      <c r="AB47" s="4"/>
      <c r="AC47" s="4"/>
      <c r="AD47" s="4"/>
    </row>
    <row r="48" spans="1:30">
      <c r="A48" s="255"/>
      <c r="B48" s="256"/>
      <c r="C48" s="256"/>
      <c r="D48" s="257"/>
      <c r="E48" s="255"/>
      <c r="F48" s="256"/>
      <c r="G48" s="256"/>
      <c r="H48" s="257"/>
      <c r="I48" s="255"/>
      <c r="J48" s="256"/>
      <c r="K48" s="256"/>
      <c r="L48" s="256"/>
      <c r="M48" s="257"/>
      <c r="N48" s="255"/>
      <c r="O48" s="256"/>
      <c r="P48" s="256"/>
      <c r="Q48" s="256"/>
      <c r="R48" s="257"/>
      <c r="S48" s="4"/>
      <c r="T48" s="4"/>
      <c r="U48" s="4"/>
      <c r="V48" s="4"/>
      <c r="W48" s="4"/>
      <c r="X48" s="4"/>
      <c r="Y48" s="4"/>
      <c r="Z48" s="4"/>
      <c r="AA48" s="4"/>
      <c r="AB48" s="4"/>
      <c r="AC48" s="4"/>
      <c r="AD48" s="4"/>
    </row>
    <row r="49" spans="1:30">
      <c r="A49" s="258"/>
      <c r="B49" s="259"/>
      <c r="C49" s="259"/>
      <c r="D49" s="260"/>
      <c r="E49" s="258"/>
      <c r="F49" s="259"/>
      <c r="G49" s="259"/>
      <c r="H49" s="260"/>
      <c r="I49" s="258"/>
      <c r="J49" s="259"/>
      <c r="K49" s="259"/>
      <c r="L49" s="259"/>
      <c r="M49" s="260"/>
      <c r="N49" s="258"/>
      <c r="O49" s="259"/>
      <c r="P49" s="259"/>
      <c r="Q49" s="259"/>
      <c r="R49" s="260"/>
      <c r="S49" s="4"/>
      <c r="T49" s="4"/>
      <c r="U49" s="4"/>
      <c r="V49" s="4"/>
      <c r="W49" s="4"/>
      <c r="X49" s="4"/>
      <c r="Y49" s="4"/>
      <c r="Z49" s="4"/>
      <c r="AA49" s="4"/>
      <c r="AB49" s="4"/>
      <c r="AC49" s="4"/>
      <c r="AD49" s="4"/>
    </row>
    <row r="50" spans="1:30">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row>
    <row r="51" spans="1:30" ht="13.4" customHeight="1">
      <c r="A51" s="220" t="s">
        <v>123</v>
      </c>
      <c r="B51" s="220"/>
      <c r="C51" s="220"/>
      <c r="D51" s="220"/>
      <c r="E51" s="220"/>
      <c r="F51" s="220"/>
      <c r="G51" s="220"/>
      <c r="H51" s="220"/>
      <c r="I51" s="220"/>
      <c r="J51" s="220"/>
      <c r="K51" s="220"/>
      <c r="L51" s="220"/>
      <c r="M51" s="220"/>
      <c r="N51" s="220"/>
      <c r="O51" s="220"/>
      <c r="P51" s="220"/>
      <c r="Q51" s="220"/>
      <c r="R51" s="220"/>
      <c r="S51" s="4"/>
      <c r="T51" s="4"/>
      <c r="U51" s="4"/>
      <c r="V51" s="4"/>
      <c r="W51" s="4"/>
      <c r="X51" s="4"/>
      <c r="Y51" s="4"/>
      <c r="Z51" s="4"/>
      <c r="AA51" s="4"/>
      <c r="AB51" s="4"/>
      <c r="AC51" s="4"/>
      <c r="AD51" s="4"/>
    </row>
    <row r="52" spans="1:30">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row>
    <row r="53" spans="1:30">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row>
    <row r="54" spans="1:30">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row>
    <row r="55" spans="1:30">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row>
    <row r="56" spans="1:30">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row>
    <row r="57" spans="1:30">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row>
    <row r="58" spans="1:30">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row>
    <row r="59" spans="1:30">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row>
    <row r="60" spans="1:30">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row>
    <row r="61" spans="1:30">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row>
    <row r="62" spans="1:30">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row>
    <row r="63" spans="1:30">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row>
    <row r="64" spans="1:30">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row>
    <row r="65" spans="1:30">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row>
    <row r="66" spans="1:30">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row>
    <row r="67" spans="1:30">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row>
    <row r="68" spans="1:30">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row>
    <row r="69" spans="1:30">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row>
    <row r="70" spans="1:30">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row>
    <row r="71" spans="1:30">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row>
    <row r="72" spans="1:30">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row>
    <row r="73" spans="1:30">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row>
    <row r="74" spans="1:30">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row>
    <row r="75" spans="1:30">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row>
    <row r="76" spans="1:30">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row>
    <row r="77" spans="1:30">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row>
    <row r="78" spans="1:30">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row>
    <row r="79" spans="1:30">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row>
    <row r="80" spans="1:30">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row>
    <row r="81" spans="1:30">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row>
    <row r="82" spans="1:30">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row>
    <row r="83" spans="1:30">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row>
    <row r="84" spans="1:30">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row>
    <row r="85" spans="1:30">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row>
    <row r="86" spans="1:30">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row>
    <row r="87" spans="1:30">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row>
    <row r="88" spans="1:30">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row>
    <row r="89" spans="1:30">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row>
    <row r="90" spans="1:30">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row>
  </sheetData>
  <mergeCells count="31">
    <mergeCell ref="A45:D49"/>
    <mergeCell ref="E45:H49"/>
    <mergeCell ref="I45:M49"/>
    <mergeCell ref="N45:R49"/>
    <mergeCell ref="A51:R51"/>
    <mergeCell ref="G18:R22"/>
    <mergeCell ref="A24:R24"/>
    <mergeCell ref="A36:R36"/>
    <mergeCell ref="A37:R42"/>
    <mergeCell ref="A44:R44"/>
    <mergeCell ref="J14:L16"/>
    <mergeCell ref="M12:O13"/>
    <mergeCell ref="M14:O16"/>
    <mergeCell ref="P12:R13"/>
    <mergeCell ref="P14:R16"/>
    <mergeCell ref="A1:G1"/>
    <mergeCell ref="H1:R1"/>
    <mergeCell ref="A2:R2"/>
    <mergeCell ref="A3:R3"/>
    <mergeCell ref="A6:F22"/>
    <mergeCell ref="G6:I7"/>
    <mergeCell ref="G8:I10"/>
    <mergeCell ref="J6:L7"/>
    <mergeCell ref="J8:L10"/>
    <mergeCell ref="M6:O7"/>
    <mergeCell ref="M8:O10"/>
    <mergeCell ref="P6:R7"/>
    <mergeCell ref="P8:R10"/>
    <mergeCell ref="G12:I13"/>
    <mergeCell ref="G14:I16"/>
    <mergeCell ref="J12:L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0"/>
  <sheetViews>
    <sheetView workbookViewId="0">
      <selection sqref="A1:G1"/>
    </sheetView>
  </sheetViews>
  <sheetFormatPr defaultRowHeight="14"/>
  <cols>
    <col min="1" max="1" width="11" customWidth="1"/>
    <col min="2" max="2" width="15" customWidth="1"/>
    <col min="3" max="3" width="26" customWidth="1"/>
    <col min="4" max="5" width="34" customWidth="1"/>
    <col min="6" max="7" width="12" customWidth="1"/>
    <col min="8" max="9" width="14" customWidth="1"/>
    <col min="10" max="10" width="20" customWidth="1"/>
    <col min="11" max="11" width="25" customWidth="1"/>
    <col min="12" max="13" width="22" customWidth="1"/>
    <col min="14" max="14" width="14" customWidth="1"/>
    <col min="15" max="16" width="28" customWidth="1"/>
    <col min="17" max="17" width="22" customWidth="1"/>
    <col min="18" max="18" width="12" customWidth="1"/>
    <col min="19" max="20" width="14" customWidth="1"/>
  </cols>
  <sheetData>
    <row r="1" spans="1:30" ht="14.65" customHeight="1">
      <c r="A1" s="103" t="s">
        <v>0</v>
      </c>
      <c r="B1" s="103"/>
      <c r="C1" s="103"/>
      <c r="D1" s="103"/>
      <c r="E1" s="103"/>
      <c r="F1" s="103"/>
      <c r="G1" s="103"/>
      <c r="H1" s="104" t="s">
        <v>1</v>
      </c>
      <c r="I1" s="104"/>
      <c r="J1" s="104"/>
      <c r="K1" s="104"/>
      <c r="L1" s="104"/>
      <c r="M1" s="104"/>
      <c r="N1" s="104"/>
      <c r="O1" s="104"/>
      <c r="P1" s="104"/>
      <c r="Q1" s="104"/>
      <c r="R1" s="104"/>
      <c r="S1" s="104"/>
      <c r="T1" s="104"/>
      <c r="U1" s="4"/>
      <c r="V1" s="4"/>
      <c r="W1" s="4"/>
      <c r="X1" s="4"/>
      <c r="Y1" s="4"/>
      <c r="Z1" s="4"/>
      <c r="AA1" s="4"/>
      <c r="AB1" s="4"/>
      <c r="AC1" s="4"/>
      <c r="AD1" s="4"/>
    </row>
    <row r="2" spans="1:30" ht="25.4" customHeight="1">
      <c r="A2" s="105" t="s">
        <v>124</v>
      </c>
      <c r="B2" s="105"/>
      <c r="C2" s="105"/>
      <c r="D2" s="105"/>
      <c r="E2" s="105"/>
      <c r="F2" s="105"/>
      <c r="G2" s="105"/>
      <c r="H2" s="105"/>
      <c r="I2" s="105"/>
      <c r="J2" s="105"/>
      <c r="K2" s="105"/>
      <c r="L2" s="105"/>
      <c r="M2" s="105"/>
      <c r="N2" s="105"/>
      <c r="O2" s="105"/>
      <c r="P2" s="105"/>
      <c r="Q2" s="105"/>
      <c r="R2" s="105"/>
      <c r="S2" s="105"/>
      <c r="T2" s="105"/>
      <c r="U2" s="4"/>
      <c r="V2" s="4"/>
      <c r="W2" s="4"/>
      <c r="X2" s="4"/>
      <c r="Y2" s="4"/>
      <c r="Z2" s="4"/>
      <c r="AA2" s="4"/>
      <c r="AB2" s="4"/>
      <c r="AC2" s="4"/>
      <c r="AD2" s="4"/>
    </row>
    <row r="3" spans="1:30" ht="14.65" customHeight="1">
      <c r="A3" s="106" t="s">
        <v>125</v>
      </c>
      <c r="B3" s="106"/>
      <c r="C3" s="106"/>
      <c r="D3" s="106"/>
      <c r="E3" s="106"/>
      <c r="F3" s="106"/>
      <c r="G3" s="106"/>
      <c r="H3" s="106"/>
      <c r="I3" s="106"/>
      <c r="J3" s="106"/>
      <c r="K3" s="106"/>
      <c r="L3" s="106"/>
      <c r="M3" s="106"/>
      <c r="N3" s="106"/>
      <c r="O3" s="106"/>
      <c r="P3" s="106"/>
      <c r="Q3" s="106"/>
      <c r="R3" s="106"/>
      <c r="S3" s="106"/>
      <c r="T3" s="106"/>
      <c r="U3" s="4"/>
      <c r="V3" s="4"/>
      <c r="W3" s="4"/>
      <c r="X3" s="4"/>
      <c r="Y3" s="4"/>
      <c r="Z3" s="4"/>
      <c r="AA3" s="4"/>
      <c r="AB3" s="4"/>
      <c r="AC3" s="4"/>
      <c r="AD3" s="4"/>
    </row>
    <row r="4" spans="1:30" ht="3.4" customHeight="1">
      <c r="A4" s="5"/>
      <c r="B4" s="5"/>
      <c r="C4" s="5"/>
      <c r="D4" s="5"/>
      <c r="E4" s="5"/>
      <c r="F4" s="5"/>
      <c r="G4" s="5"/>
      <c r="H4" s="5"/>
      <c r="I4" s="5"/>
      <c r="J4" s="5"/>
      <c r="K4" s="5"/>
      <c r="L4" s="5"/>
      <c r="M4" s="5"/>
      <c r="N4" s="5"/>
      <c r="O4" s="5"/>
      <c r="P4" s="5"/>
      <c r="Q4" s="5"/>
      <c r="R4" s="5"/>
      <c r="S4" s="5"/>
      <c r="T4" s="5"/>
      <c r="U4" s="4"/>
      <c r="V4" s="4"/>
      <c r="W4" s="4"/>
      <c r="X4" s="4"/>
      <c r="Y4" s="4"/>
      <c r="Z4" s="4"/>
      <c r="AA4" s="4"/>
      <c r="AB4" s="4"/>
      <c r="AC4" s="4"/>
      <c r="AD4" s="4"/>
    </row>
    <row r="5" spans="1:30">
      <c r="A5" s="4"/>
      <c r="B5" s="4"/>
      <c r="C5" s="4"/>
      <c r="D5" s="4"/>
      <c r="E5" s="4"/>
      <c r="F5" s="4"/>
      <c r="G5" s="4"/>
      <c r="H5" s="4"/>
      <c r="I5" s="4"/>
      <c r="J5" s="4"/>
      <c r="K5" s="4"/>
      <c r="L5" s="4"/>
      <c r="M5" s="4"/>
      <c r="N5" s="4"/>
      <c r="O5" s="4"/>
      <c r="P5" s="4"/>
      <c r="Q5" s="4"/>
      <c r="R5" s="4"/>
      <c r="S5" s="4"/>
      <c r="T5" s="4"/>
      <c r="U5" s="4"/>
      <c r="V5" s="4"/>
      <c r="W5" s="4"/>
      <c r="X5" s="4"/>
      <c r="Y5" s="4"/>
      <c r="Z5" s="4"/>
      <c r="AA5" s="4"/>
      <c r="AB5" s="4"/>
      <c r="AC5" s="4"/>
      <c r="AD5" s="4"/>
    </row>
    <row r="6" spans="1:30">
      <c r="A6" s="261" t="s">
        <v>126</v>
      </c>
      <c r="B6" s="262"/>
      <c r="C6" s="262"/>
      <c r="D6" s="262"/>
      <c r="E6" s="262"/>
      <c r="F6" s="262"/>
      <c r="G6" s="262"/>
      <c r="H6" s="262"/>
      <c r="I6" s="262"/>
      <c r="J6" s="262"/>
      <c r="K6" s="262"/>
      <c r="L6" s="262"/>
      <c r="M6" s="262"/>
      <c r="N6" s="262"/>
      <c r="O6" s="262"/>
      <c r="P6" s="262"/>
      <c r="Q6" s="262"/>
      <c r="R6" s="262"/>
      <c r="S6" s="262"/>
      <c r="T6" s="263"/>
      <c r="U6" s="4"/>
      <c r="V6" s="4"/>
      <c r="W6" s="4"/>
      <c r="X6" s="4"/>
      <c r="Y6" s="4"/>
      <c r="Z6" s="4"/>
      <c r="AA6" s="4"/>
      <c r="AB6" s="4"/>
      <c r="AC6" s="4"/>
      <c r="AD6" s="4"/>
    </row>
    <row r="7" spans="1:30">
      <c r="A7" s="264"/>
      <c r="B7" s="265"/>
      <c r="C7" s="265"/>
      <c r="D7" s="265"/>
      <c r="E7" s="265"/>
      <c r="F7" s="265"/>
      <c r="G7" s="265"/>
      <c r="H7" s="265"/>
      <c r="I7" s="265"/>
      <c r="J7" s="265"/>
      <c r="K7" s="265"/>
      <c r="L7" s="265"/>
      <c r="M7" s="265"/>
      <c r="N7" s="265"/>
      <c r="O7" s="265"/>
      <c r="P7" s="265"/>
      <c r="Q7" s="265"/>
      <c r="R7" s="265"/>
      <c r="S7" s="265"/>
      <c r="T7" s="266"/>
      <c r="U7" s="4"/>
      <c r="V7" s="4"/>
      <c r="W7" s="4"/>
      <c r="X7" s="4"/>
      <c r="Y7" s="4"/>
      <c r="Z7" s="4"/>
      <c r="AA7" s="4"/>
      <c r="AB7" s="4"/>
      <c r="AC7" s="4"/>
      <c r="AD7" s="4"/>
    </row>
    <row r="8" spans="1:30">
      <c r="A8" s="267"/>
      <c r="B8" s="268"/>
      <c r="C8" s="268"/>
      <c r="D8" s="268"/>
      <c r="E8" s="268"/>
      <c r="F8" s="268"/>
      <c r="G8" s="268"/>
      <c r="H8" s="268"/>
      <c r="I8" s="268"/>
      <c r="J8" s="268"/>
      <c r="K8" s="268"/>
      <c r="L8" s="268"/>
      <c r="M8" s="268"/>
      <c r="N8" s="268"/>
      <c r="O8" s="268"/>
      <c r="P8" s="268"/>
      <c r="Q8" s="268"/>
      <c r="R8" s="268"/>
      <c r="S8" s="268"/>
      <c r="T8" s="269"/>
      <c r="U8" s="4"/>
      <c r="V8" s="4"/>
      <c r="W8" s="4"/>
      <c r="X8" s="4"/>
      <c r="Y8" s="4"/>
      <c r="Z8" s="4"/>
      <c r="AA8" s="4"/>
      <c r="AB8" s="4"/>
      <c r="AC8" s="4"/>
      <c r="AD8" s="4"/>
    </row>
    <row r="9" spans="1:30">
      <c r="A9" s="4"/>
      <c r="B9" s="4"/>
      <c r="C9" s="4"/>
      <c r="D9" s="4"/>
      <c r="E9" s="4"/>
      <c r="F9" s="4"/>
      <c r="G9" s="4"/>
      <c r="H9" s="4"/>
      <c r="I9" s="4"/>
      <c r="J9" s="4"/>
      <c r="K9" s="4"/>
      <c r="L9" s="4"/>
      <c r="M9" s="4"/>
      <c r="N9" s="4"/>
      <c r="O9" s="4"/>
      <c r="P9" s="4"/>
      <c r="Q9" s="4"/>
      <c r="R9" s="4"/>
      <c r="S9" s="4"/>
      <c r="T9" s="4"/>
      <c r="U9" s="4"/>
      <c r="V9" s="4"/>
      <c r="W9" s="4"/>
      <c r="X9" s="4"/>
      <c r="Y9" s="4"/>
      <c r="Z9" s="4"/>
      <c r="AA9" s="4"/>
      <c r="AB9" s="4"/>
      <c r="AC9" s="4"/>
      <c r="AD9" s="4"/>
    </row>
    <row r="10" spans="1:30" ht="16" customHeight="1">
      <c r="A10" s="125" t="s">
        <v>127</v>
      </c>
      <c r="B10" s="125"/>
      <c r="C10" s="125"/>
      <c r="D10" s="125"/>
      <c r="E10" s="125"/>
      <c r="F10" s="125"/>
      <c r="G10" s="125"/>
      <c r="H10" s="125"/>
      <c r="I10" s="125"/>
      <c r="J10" s="125"/>
      <c r="K10" s="125"/>
      <c r="L10" s="125"/>
      <c r="M10" s="125"/>
      <c r="N10" s="125"/>
      <c r="O10" s="125"/>
      <c r="P10" s="125"/>
      <c r="Q10" s="125"/>
      <c r="R10" s="125"/>
      <c r="S10" s="125"/>
      <c r="T10" s="125"/>
      <c r="U10" s="4"/>
      <c r="V10" s="4"/>
      <c r="W10" s="4"/>
      <c r="X10" s="4"/>
      <c r="Y10" s="4"/>
      <c r="Z10" s="4"/>
      <c r="AA10" s="4"/>
      <c r="AB10" s="4"/>
      <c r="AC10" s="4"/>
      <c r="AD10" s="4"/>
    </row>
    <row r="11" spans="1:30" ht="25.4" customHeight="1">
      <c r="A11" s="30" t="s">
        <v>128</v>
      </c>
      <c r="B11" s="31" t="s">
        <v>129</v>
      </c>
      <c r="C11" s="31" t="s">
        <v>130</v>
      </c>
      <c r="D11" s="31" t="s">
        <v>131</v>
      </c>
      <c r="E11" s="31" t="s">
        <v>132</v>
      </c>
      <c r="F11" s="31" t="s">
        <v>69</v>
      </c>
      <c r="G11" s="31" t="s">
        <v>133</v>
      </c>
      <c r="H11" s="31" t="s">
        <v>134</v>
      </c>
      <c r="I11" s="31" t="s">
        <v>135</v>
      </c>
      <c r="J11" s="31" t="s">
        <v>136</v>
      </c>
      <c r="K11" s="31" t="s">
        <v>137</v>
      </c>
      <c r="L11" s="31" t="s">
        <v>138</v>
      </c>
      <c r="M11" s="31" t="s">
        <v>139</v>
      </c>
      <c r="N11" s="31" t="s">
        <v>140</v>
      </c>
      <c r="O11" s="31" t="s">
        <v>141</v>
      </c>
      <c r="P11" s="31" t="s">
        <v>142</v>
      </c>
      <c r="Q11" s="31" t="s">
        <v>143</v>
      </c>
      <c r="R11" s="31" t="s">
        <v>144</v>
      </c>
      <c r="S11" s="31" t="s">
        <v>145</v>
      </c>
      <c r="T11" s="32" t="s">
        <v>146</v>
      </c>
      <c r="U11" s="4"/>
      <c r="V11" s="4"/>
      <c r="W11" s="4"/>
      <c r="X11" s="4"/>
      <c r="Y11" s="4"/>
      <c r="Z11" s="4"/>
      <c r="AA11" s="4"/>
      <c r="AB11" s="4"/>
      <c r="AC11" s="4"/>
      <c r="AD11" s="4"/>
    </row>
    <row r="12" spans="1:30" ht="23">
      <c r="A12" s="15" t="s">
        <v>147</v>
      </c>
      <c r="B12" s="6" t="s">
        <v>148</v>
      </c>
      <c r="C12" s="6" t="s">
        <v>149</v>
      </c>
      <c r="D12" s="6" t="s">
        <v>150</v>
      </c>
      <c r="E12" s="6" t="s">
        <v>151</v>
      </c>
      <c r="F12" s="6" t="s">
        <v>152</v>
      </c>
      <c r="G12" s="6" t="s">
        <v>153</v>
      </c>
      <c r="H12" s="6" t="s">
        <v>154</v>
      </c>
      <c r="I12" s="6" t="s">
        <v>155</v>
      </c>
      <c r="J12" s="6" t="s">
        <v>156</v>
      </c>
      <c r="K12" s="6" t="s">
        <v>157</v>
      </c>
      <c r="L12" s="6" t="s">
        <v>75</v>
      </c>
      <c r="M12" s="6" t="s">
        <v>158</v>
      </c>
      <c r="N12" s="33"/>
      <c r="O12" s="6" t="s">
        <v>159</v>
      </c>
      <c r="P12" s="6" t="s">
        <v>160</v>
      </c>
      <c r="Q12" s="6" t="s">
        <v>161</v>
      </c>
      <c r="R12" s="6" t="s">
        <v>74</v>
      </c>
      <c r="S12" s="6" t="s">
        <v>162</v>
      </c>
      <c r="T12" s="7" t="s">
        <v>163</v>
      </c>
      <c r="U12" s="4"/>
      <c r="V12" s="4"/>
      <c r="W12" s="4"/>
      <c r="X12" s="4"/>
      <c r="Y12" s="4"/>
      <c r="Z12" s="4"/>
      <c r="AA12" s="4"/>
      <c r="AB12" s="4"/>
      <c r="AC12" s="4"/>
      <c r="AD12" s="4"/>
    </row>
    <row r="13" spans="1:30" ht="23">
      <c r="A13" s="34" t="s">
        <v>164</v>
      </c>
      <c r="B13" s="35" t="s">
        <v>148</v>
      </c>
      <c r="C13" s="35" t="s">
        <v>165</v>
      </c>
      <c r="D13" s="35" t="s">
        <v>166</v>
      </c>
      <c r="E13" s="35" t="s">
        <v>167</v>
      </c>
      <c r="F13" s="35" t="s">
        <v>168</v>
      </c>
      <c r="G13" s="35" t="s">
        <v>153</v>
      </c>
      <c r="H13" s="35" t="s">
        <v>154</v>
      </c>
      <c r="I13" s="35" t="s">
        <v>155</v>
      </c>
      <c r="J13" s="35" t="s">
        <v>169</v>
      </c>
      <c r="K13" s="35" t="s">
        <v>170</v>
      </c>
      <c r="L13" s="35" t="s">
        <v>171</v>
      </c>
      <c r="M13" s="35" t="s">
        <v>172</v>
      </c>
      <c r="N13" s="36"/>
      <c r="O13" s="35" t="s">
        <v>173</v>
      </c>
      <c r="P13" s="35" t="s">
        <v>174</v>
      </c>
      <c r="Q13" s="35" t="s">
        <v>175</v>
      </c>
      <c r="R13" s="35" t="s">
        <v>74</v>
      </c>
      <c r="S13" s="35" t="s">
        <v>162</v>
      </c>
      <c r="T13" s="37" t="s">
        <v>163</v>
      </c>
      <c r="U13" s="4"/>
      <c r="V13" s="4"/>
      <c r="W13" s="4"/>
      <c r="X13" s="4"/>
      <c r="Y13" s="4"/>
      <c r="Z13" s="4"/>
      <c r="AA13" s="4"/>
      <c r="AB13" s="4"/>
      <c r="AC13" s="4"/>
      <c r="AD13" s="4"/>
    </row>
    <row r="14" spans="1:30" ht="23">
      <c r="A14" s="18" t="s">
        <v>176</v>
      </c>
      <c r="B14" s="8" t="s">
        <v>148</v>
      </c>
      <c r="C14" s="8" t="s">
        <v>177</v>
      </c>
      <c r="D14" s="8" t="s">
        <v>178</v>
      </c>
      <c r="E14" s="8" t="s">
        <v>151</v>
      </c>
      <c r="F14" s="8" t="s">
        <v>152</v>
      </c>
      <c r="G14" s="8" t="s">
        <v>153</v>
      </c>
      <c r="H14" s="8" t="s">
        <v>154</v>
      </c>
      <c r="I14" s="8" t="s">
        <v>155</v>
      </c>
      <c r="J14" s="8" t="s">
        <v>156</v>
      </c>
      <c r="K14" s="8" t="s">
        <v>179</v>
      </c>
      <c r="L14" s="8" t="s">
        <v>83</v>
      </c>
      <c r="M14" s="8" t="s">
        <v>180</v>
      </c>
      <c r="N14" s="36"/>
      <c r="O14" s="8" t="s">
        <v>181</v>
      </c>
      <c r="P14" s="8" t="s">
        <v>182</v>
      </c>
      <c r="Q14" s="8" t="s">
        <v>183</v>
      </c>
      <c r="R14" s="8" t="s">
        <v>74</v>
      </c>
      <c r="S14" s="8" t="s">
        <v>162</v>
      </c>
      <c r="T14" s="9" t="s">
        <v>163</v>
      </c>
      <c r="U14" s="4"/>
      <c r="V14" s="4"/>
      <c r="W14" s="4"/>
      <c r="X14" s="4"/>
      <c r="Y14" s="4"/>
      <c r="Z14" s="4"/>
      <c r="AA14" s="4"/>
      <c r="AB14" s="4"/>
      <c r="AC14" s="4"/>
      <c r="AD14" s="4"/>
    </row>
    <row r="15" spans="1:30">
      <c r="A15" s="34" t="s">
        <v>184</v>
      </c>
      <c r="B15" s="35" t="s">
        <v>148</v>
      </c>
      <c r="C15" s="35" t="s">
        <v>185</v>
      </c>
      <c r="D15" s="35" t="s">
        <v>186</v>
      </c>
      <c r="E15" s="35" t="s">
        <v>187</v>
      </c>
      <c r="F15" s="35" t="s">
        <v>168</v>
      </c>
      <c r="G15" s="35" t="s">
        <v>153</v>
      </c>
      <c r="H15" s="35" t="s">
        <v>154</v>
      </c>
      <c r="I15" s="35" t="s">
        <v>155</v>
      </c>
      <c r="J15" s="35" t="s">
        <v>188</v>
      </c>
      <c r="K15" s="35" t="s">
        <v>189</v>
      </c>
      <c r="L15" s="35" t="s">
        <v>171</v>
      </c>
      <c r="M15" s="35" t="s">
        <v>172</v>
      </c>
      <c r="N15" s="36"/>
      <c r="O15" s="35" t="s">
        <v>190</v>
      </c>
      <c r="P15" s="35" t="s">
        <v>191</v>
      </c>
      <c r="Q15" s="35" t="s">
        <v>192</v>
      </c>
      <c r="R15" s="35" t="s">
        <v>90</v>
      </c>
      <c r="S15" s="35" t="s">
        <v>162</v>
      </c>
      <c r="T15" s="37" t="s">
        <v>163</v>
      </c>
      <c r="U15" s="4"/>
      <c r="V15" s="4"/>
      <c r="W15" s="4"/>
      <c r="X15" s="4"/>
      <c r="Y15" s="4"/>
      <c r="Z15" s="4"/>
      <c r="AA15" s="4"/>
      <c r="AB15" s="4"/>
      <c r="AC15" s="4"/>
      <c r="AD15" s="4"/>
    </row>
    <row r="16" spans="1:30" ht="23">
      <c r="A16" s="18" t="s">
        <v>193</v>
      </c>
      <c r="B16" s="8" t="s">
        <v>148</v>
      </c>
      <c r="C16" s="8" t="s">
        <v>194</v>
      </c>
      <c r="D16" s="8" t="s">
        <v>195</v>
      </c>
      <c r="E16" s="8" t="s">
        <v>196</v>
      </c>
      <c r="F16" s="8" t="s">
        <v>197</v>
      </c>
      <c r="G16" s="8" t="s">
        <v>153</v>
      </c>
      <c r="H16" s="8" t="s">
        <v>154</v>
      </c>
      <c r="I16" s="8" t="s">
        <v>155</v>
      </c>
      <c r="J16" s="8" t="s">
        <v>198</v>
      </c>
      <c r="K16" s="8" t="s">
        <v>199</v>
      </c>
      <c r="L16" s="8" t="s">
        <v>91</v>
      </c>
      <c r="M16" s="8" t="s">
        <v>200</v>
      </c>
      <c r="N16" s="36"/>
      <c r="O16" s="8" t="s">
        <v>201</v>
      </c>
      <c r="P16" s="8" t="s">
        <v>202</v>
      </c>
      <c r="Q16" s="8" t="s">
        <v>203</v>
      </c>
      <c r="R16" s="8" t="s">
        <v>74</v>
      </c>
      <c r="S16" s="8" t="s">
        <v>204</v>
      </c>
      <c r="T16" s="9" t="s">
        <v>163</v>
      </c>
      <c r="U16" s="4"/>
      <c r="V16" s="4"/>
      <c r="W16" s="4"/>
      <c r="X16" s="4"/>
      <c r="Y16" s="4"/>
      <c r="Z16" s="4"/>
      <c r="AA16" s="4"/>
      <c r="AB16" s="4"/>
      <c r="AC16" s="4"/>
      <c r="AD16" s="4"/>
    </row>
    <row r="17" spans="1:30" ht="23">
      <c r="A17" s="34" t="s">
        <v>205</v>
      </c>
      <c r="B17" s="35" t="s">
        <v>148</v>
      </c>
      <c r="C17" s="35" t="s">
        <v>206</v>
      </c>
      <c r="D17" s="35" t="s">
        <v>207</v>
      </c>
      <c r="E17" s="35" t="s">
        <v>208</v>
      </c>
      <c r="F17" s="35" t="s">
        <v>209</v>
      </c>
      <c r="G17" s="35" t="s">
        <v>153</v>
      </c>
      <c r="H17" s="35" t="s">
        <v>154</v>
      </c>
      <c r="I17" s="35" t="s">
        <v>210</v>
      </c>
      <c r="J17" s="35" t="s">
        <v>211</v>
      </c>
      <c r="K17" s="35" t="s">
        <v>212</v>
      </c>
      <c r="L17" s="35" t="s">
        <v>91</v>
      </c>
      <c r="M17" s="35" t="s">
        <v>213</v>
      </c>
      <c r="N17" s="36"/>
      <c r="O17" s="35" t="s">
        <v>214</v>
      </c>
      <c r="P17" s="35" t="s">
        <v>215</v>
      </c>
      <c r="Q17" s="35" t="s">
        <v>216</v>
      </c>
      <c r="R17" s="35" t="s">
        <v>74</v>
      </c>
      <c r="S17" s="35" t="s">
        <v>162</v>
      </c>
      <c r="T17" s="37" t="s">
        <v>163</v>
      </c>
      <c r="U17" s="4"/>
      <c r="V17" s="4"/>
      <c r="W17" s="4"/>
      <c r="X17" s="4"/>
      <c r="Y17" s="4"/>
      <c r="Z17" s="4"/>
      <c r="AA17" s="4"/>
      <c r="AB17" s="4"/>
      <c r="AC17" s="4"/>
      <c r="AD17" s="4"/>
    </row>
    <row r="18" spans="1:30" ht="23">
      <c r="A18" s="18" t="s">
        <v>217</v>
      </c>
      <c r="B18" s="8" t="s">
        <v>148</v>
      </c>
      <c r="C18" s="8" t="s">
        <v>101</v>
      </c>
      <c r="D18" s="8" t="s">
        <v>218</v>
      </c>
      <c r="E18" s="8" t="s">
        <v>219</v>
      </c>
      <c r="F18" s="8" t="s">
        <v>78</v>
      </c>
      <c r="G18" s="8" t="s">
        <v>153</v>
      </c>
      <c r="H18" s="8" t="s">
        <v>154</v>
      </c>
      <c r="I18" s="8" t="s">
        <v>155</v>
      </c>
      <c r="J18" s="8" t="s">
        <v>220</v>
      </c>
      <c r="K18" s="8" t="s">
        <v>221</v>
      </c>
      <c r="L18" s="8" t="s">
        <v>99</v>
      </c>
      <c r="M18" s="8" t="s">
        <v>222</v>
      </c>
      <c r="N18" s="36"/>
      <c r="O18" s="8" t="s">
        <v>223</v>
      </c>
      <c r="P18" s="8" t="s">
        <v>224</v>
      </c>
      <c r="Q18" s="8" t="s">
        <v>225</v>
      </c>
      <c r="R18" s="8" t="s">
        <v>74</v>
      </c>
      <c r="S18" s="8" t="s">
        <v>162</v>
      </c>
      <c r="T18" s="9" t="s">
        <v>163</v>
      </c>
      <c r="U18" s="4"/>
      <c r="V18" s="4"/>
      <c r="W18" s="4"/>
      <c r="X18" s="4"/>
      <c r="Y18" s="4"/>
      <c r="Z18" s="4"/>
      <c r="AA18" s="4"/>
      <c r="AB18" s="4"/>
      <c r="AC18" s="4"/>
      <c r="AD18" s="4"/>
    </row>
    <row r="19" spans="1:30" ht="23">
      <c r="A19" s="34" t="s">
        <v>226</v>
      </c>
      <c r="B19" s="35" t="s">
        <v>148</v>
      </c>
      <c r="C19" s="35" t="s">
        <v>227</v>
      </c>
      <c r="D19" s="35" t="s">
        <v>228</v>
      </c>
      <c r="E19" s="35" t="s">
        <v>229</v>
      </c>
      <c r="F19" s="35" t="s">
        <v>230</v>
      </c>
      <c r="G19" s="35" t="s">
        <v>153</v>
      </c>
      <c r="H19" s="35" t="s">
        <v>154</v>
      </c>
      <c r="I19" s="35" t="s">
        <v>155</v>
      </c>
      <c r="J19" s="35" t="s">
        <v>231</v>
      </c>
      <c r="K19" s="35" t="s">
        <v>232</v>
      </c>
      <c r="L19" s="35" t="s">
        <v>99</v>
      </c>
      <c r="M19" s="35" t="s">
        <v>233</v>
      </c>
      <c r="N19" s="36"/>
      <c r="O19" s="35" t="s">
        <v>234</v>
      </c>
      <c r="P19" s="35" t="s">
        <v>235</v>
      </c>
      <c r="Q19" s="35" t="s">
        <v>236</v>
      </c>
      <c r="R19" s="35" t="s">
        <v>90</v>
      </c>
      <c r="S19" s="35" t="s">
        <v>162</v>
      </c>
      <c r="T19" s="37" t="s">
        <v>163</v>
      </c>
      <c r="U19" s="4"/>
      <c r="V19" s="4"/>
      <c r="W19" s="4"/>
      <c r="X19" s="4"/>
      <c r="Y19" s="4"/>
      <c r="Z19" s="4"/>
      <c r="AA19" s="4"/>
      <c r="AB19" s="4"/>
      <c r="AC19" s="4"/>
      <c r="AD19" s="4"/>
    </row>
    <row r="20" spans="1:30" ht="23">
      <c r="A20" s="18" t="s">
        <v>237</v>
      </c>
      <c r="B20" s="8" t="s">
        <v>238</v>
      </c>
      <c r="C20" s="8" t="s">
        <v>104</v>
      </c>
      <c r="D20" s="8" t="s">
        <v>239</v>
      </c>
      <c r="E20" s="8" t="s">
        <v>240</v>
      </c>
      <c r="F20" s="8" t="s">
        <v>105</v>
      </c>
      <c r="G20" s="8" t="s">
        <v>241</v>
      </c>
      <c r="H20" s="8" t="s">
        <v>154</v>
      </c>
      <c r="I20" s="8" t="s">
        <v>155</v>
      </c>
      <c r="J20" s="8" t="s">
        <v>242</v>
      </c>
      <c r="K20" s="8" t="s">
        <v>243</v>
      </c>
      <c r="L20" s="8" t="s">
        <v>244</v>
      </c>
      <c r="M20" s="8" t="s">
        <v>245</v>
      </c>
      <c r="N20" s="36"/>
      <c r="O20" s="8" t="s">
        <v>246</v>
      </c>
      <c r="P20" s="8" t="s">
        <v>247</v>
      </c>
      <c r="Q20" s="8" t="s">
        <v>248</v>
      </c>
      <c r="R20" s="8" t="s">
        <v>74</v>
      </c>
      <c r="S20" s="8" t="s">
        <v>204</v>
      </c>
      <c r="T20" s="9" t="s">
        <v>163</v>
      </c>
      <c r="U20" s="4"/>
      <c r="V20" s="4"/>
      <c r="W20" s="4"/>
      <c r="X20" s="4"/>
      <c r="Y20" s="4"/>
      <c r="Z20" s="4"/>
      <c r="AA20" s="4"/>
      <c r="AB20" s="4"/>
      <c r="AC20" s="4"/>
      <c r="AD20" s="4"/>
    </row>
    <row r="21" spans="1:30" ht="23">
      <c r="A21" s="34" t="s">
        <v>249</v>
      </c>
      <c r="B21" s="35" t="s">
        <v>238</v>
      </c>
      <c r="C21" s="35" t="s">
        <v>107</v>
      </c>
      <c r="D21" s="35" t="s">
        <v>250</v>
      </c>
      <c r="E21" s="35" t="s">
        <v>251</v>
      </c>
      <c r="F21" s="35" t="s">
        <v>105</v>
      </c>
      <c r="G21" s="35" t="s">
        <v>153</v>
      </c>
      <c r="H21" s="35" t="s">
        <v>154</v>
      </c>
      <c r="I21" s="35" t="s">
        <v>155</v>
      </c>
      <c r="J21" s="35" t="s">
        <v>252</v>
      </c>
      <c r="K21" s="35" t="s">
        <v>253</v>
      </c>
      <c r="L21" s="35" t="s">
        <v>254</v>
      </c>
      <c r="M21" s="35" t="s">
        <v>255</v>
      </c>
      <c r="N21" s="36"/>
      <c r="O21" s="35" t="s">
        <v>256</v>
      </c>
      <c r="P21" s="35" t="s">
        <v>257</v>
      </c>
      <c r="Q21" s="35" t="s">
        <v>258</v>
      </c>
      <c r="R21" s="35" t="s">
        <v>74</v>
      </c>
      <c r="S21" s="35" t="s">
        <v>204</v>
      </c>
      <c r="T21" s="37" t="s">
        <v>163</v>
      </c>
      <c r="U21" s="4"/>
      <c r="V21" s="4"/>
      <c r="W21" s="4"/>
      <c r="X21" s="4"/>
      <c r="Y21" s="4"/>
      <c r="Z21" s="4"/>
      <c r="AA21" s="4"/>
      <c r="AB21" s="4"/>
      <c r="AC21" s="4"/>
      <c r="AD21" s="4"/>
    </row>
    <row r="22" spans="1:30" ht="23">
      <c r="A22" s="18" t="s">
        <v>259</v>
      </c>
      <c r="B22" s="8" t="s">
        <v>238</v>
      </c>
      <c r="C22" s="8" t="s">
        <v>260</v>
      </c>
      <c r="D22" s="8" t="s">
        <v>261</v>
      </c>
      <c r="E22" s="8" t="s">
        <v>262</v>
      </c>
      <c r="F22" s="8" t="s">
        <v>78</v>
      </c>
      <c r="G22" s="8" t="s">
        <v>241</v>
      </c>
      <c r="H22" s="8" t="s">
        <v>154</v>
      </c>
      <c r="I22" s="8" t="s">
        <v>155</v>
      </c>
      <c r="J22" s="8" t="s">
        <v>263</v>
      </c>
      <c r="K22" s="8" t="s">
        <v>264</v>
      </c>
      <c r="L22" s="8" t="s">
        <v>254</v>
      </c>
      <c r="M22" s="8" t="s">
        <v>265</v>
      </c>
      <c r="N22" s="36"/>
      <c r="O22" s="8" t="s">
        <v>266</v>
      </c>
      <c r="P22" s="8" t="s">
        <v>267</v>
      </c>
      <c r="Q22" s="8" t="s">
        <v>268</v>
      </c>
      <c r="R22" s="8" t="s">
        <v>74</v>
      </c>
      <c r="S22" s="8" t="s">
        <v>204</v>
      </c>
      <c r="T22" s="9" t="s">
        <v>163</v>
      </c>
      <c r="U22" s="4"/>
      <c r="V22" s="4"/>
      <c r="W22" s="4"/>
      <c r="X22" s="4"/>
      <c r="Y22" s="4"/>
      <c r="Z22" s="4"/>
      <c r="AA22" s="4"/>
      <c r="AB22" s="4"/>
      <c r="AC22" s="4"/>
      <c r="AD22" s="4"/>
    </row>
    <row r="23" spans="1:30" ht="23">
      <c r="A23" s="34" t="s">
        <v>269</v>
      </c>
      <c r="B23" s="35" t="s">
        <v>270</v>
      </c>
      <c r="C23" s="35" t="s">
        <v>271</v>
      </c>
      <c r="D23" s="35" t="s">
        <v>272</v>
      </c>
      <c r="E23" s="35" t="s">
        <v>273</v>
      </c>
      <c r="F23" s="35" t="s">
        <v>274</v>
      </c>
      <c r="G23" s="35" t="s">
        <v>241</v>
      </c>
      <c r="H23" s="35" t="s">
        <v>154</v>
      </c>
      <c r="I23" s="35" t="s">
        <v>155</v>
      </c>
      <c r="J23" s="35" t="s">
        <v>275</v>
      </c>
      <c r="K23" s="35" t="s">
        <v>276</v>
      </c>
      <c r="L23" s="35" t="s">
        <v>277</v>
      </c>
      <c r="M23" s="35" t="s">
        <v>278</v>
      </c>
      <c r="N23" s="36"/>
      <c r="O23" s="35" t="s">
        <v>279</v>
      </c>
      <c r="P23" s="35" t="s">
        <v>280</v>
      </c>
      <c r="Q23" s="35" t="s">
        <v>281</v>
      </c>
      <c r="R23" s="35" t="s">
        <v>90</v>
      </c>
      <c r="S23" s="35" t="s">
        <v>282</v>
      </c>
      <c r="T23" s="37" t="s">
        <v>163</v>
      </c>
      <c r="U23" s="4"/>
      <c r="V23" s="4"/>
      <c r="W23" s="4"/>
      <c r="X23" s="4"/>
      <c r="Y23" s="4"/>
      <c r="Z23" s="4"/>
      <c r="AA23" s="4"/>
      <c r="AB23" s="4"/>
      <c r="AC23" s="4"/>
      <c r="AD23" s="4"/>
    </row>
    <row r="24" spans="1:30" ht="23">
      <c r="A24" s="18" t="s">
        <v>283</v>
      </c>
      <c r="B24" s="8" t="s">
        <v>270</v>
      </c>
      <c r="C24" s="8" t="s">
        <v>284</v>
      </c>
      <c r="D24" s="8" t="s">
        <v>285</v>
      </c>
      <c r="E24" s="8" t="s">
        <v>286</v>
      </c>
      <c r="F24" s="8" t="s">
        <v>287</v>
      </c>
      <c r="G24" s="8" t="s">
        <v>241</v>
      </c>
      <c r="H24" s="8" t="s">
        <v>288</v>
      </c>
      <c r="I24" s="8" t="s">
        <v>155</v>
      </c>
      <c r="J24" s="8" t="s">
        <v>289</v>
      </c>
      <c r="K24" s="8" t="s">
        <v>290</v>
      </c>
      <c r="L24" s="8" t="s">
        <v>277</v>
      </c>
      <c r="M24" s="8" t="s">
        <v>291</v>
      </c>
      <c r="N24" s="36"/>
      <c r="O24" s="8" t="s">
        <v>292</v>
      </c>
      <c r="P24" s="8" t="s">
        <v>293</v>
      </c>
      <c r="Q24" s="8" t="s">
        <v>294</v>
      </c>
      <c r="R24" s="8" t="s">
        <v>90</v>
      </c>
      <c r="S24" s="8" t="s">
        <v>162</v>
      </c>
      <c r="T24" s="9" t="s">
        <v>163</v>
      </c>
      <c r="U24" s="4"/>
      <c r="V24" s="4"/>
      <c r="W24" s="4"/>
      <c r="X24" s="4"/>
      <c r="Y24" s="4"/>
      <c r="Z24" s="4"/>
      <c r="AA24" s="4"/>
      <c r="AB24" s="4"/>
      <c r="AC24" s="4"/>
      <c r="AD24" s="4"/>
    </row>
    <row r="25" spans="1:30" ht="23">
      <c r="A25" s="34" t="s">
        <v>295</v>
      </c>
      <c r="B25" s="35" t="s">
        <v>270</v>
      </c>
      <c r="C25" s="35" t="s">
        <v>296</v>
      </c>
      <c r="D25" s="35" t="s">
        <v>297</v>
      </c>
      <c r="E25" s="35" t="s">
        <v>298</v>
      </c>
      <c r="F25" s="35" t="s">
        <v>78</v>
      </c>
      <c r="G25" s="35" t="s">
        <v>241</v>
      </c>
      <c r="H25" s="35" t="s">
        <v>154</v>
      </c>
      <c r="I25" s="35" t="s">
        <v>155</v>
      </c>
      <c r="J25" s="35" t="s">
        <v>299</v>
      </c>
      <c r="K25" s="35" t="s">
        <v>300</v>
      </c>
      <c r="L25" s="35" t="s">
        <v>171</v>
      </c>
      <c r="M25" s="35" t="s">
        <v>158</v>
      </c>
      <c r="N25" s="36"/>
      <c r="O25" s="35" t="s">
        <v>301</v>
      </c>
      <c r="P25" s="35" t="s">
        <v>302</v>
      </c>
      <c r="Q25" s="35" t="s">
        <v>303</v>
      </c>
      <c r="R25" s="35" t="s">
        <v>90</v>
      </c>
      <c r="S25" s="35" t="s">
        <v>204</v>
      </c>
      <c r="T25" s="37" t="s">
        <v>163</v>
      </c>
      <c r="U25" s="4"/>
      <c r="V25" s="4"/>
      <c r="W25" s="4"/>
      <c r="X25" s="4"/>
      <c r="Y25" s="4"/>
      <c r="Z25" s="4"/>
      <c r="AA25" s="4"/>
      <c r="AB25" s="4"/>
      <c r="AC25" s="4"/>
      <c r="AD25" s="4"/>
    </row>
    <row r="26" spans="1:30" ht="23">
      <c r="A26" s="18" t="s">
        <v>304</v>
      </c>
      <c r="B26" s="8" t="s">
        <v>270</v>
      </c>
      <c r="C26" s="8" t="s">
        <v>305</v>
      </c>
      <c r="D26" s="8" t="s">
        <v>306</v>
      </c>
      <c r="E26" s="8" t="s">
        <v>307</v>
      </c>
      <c r="F26" s="8" t="s">
        <v>78</v>
      </c>
      <c r="G26" s="8" t="s">
        <v>308</v>
      </c>
      <c r="H26" s="8" t="s">
        <v>288</v>
      </c>
      <c r="I26" s="8" t="s">
        <v>210</v>
      </c>
      <c r="J26" s="8" t="s">
        <v>309</v>
      </c>
      <c r="K26" s="8" t="s">
        <v>310</v>
      </c>
      <c r="L26" s="8" t="s">
        <v>311</v>
      </c>
      <c r="M26" s="8" t="s">
        <v>312</v>
      </c>
      <c r="N26" s="36"/>
      <c r="O26" s="8" t="s">
        <v>313</v>
      </c>
      <c r="P26" s="8" t="s">
        <v>314</v>
      </c>
      <c r="Q26" s="8" t="s">
        <v>315</v>
      </c>
      <c r="R26" s="8" t="s">
        <v>74</v>
      </c>
      <c r="S26" s="8" t="s">
        <v>162</v>
      </c>
      <c r="T26" s="9" t="s">
        <v>163</v>
      </c>
      <c r="U26" s="4"/>
      <c r="V26" s="4"/>
      <c r="W26" s="4"/>
      <c r="X26" s="4"/>
      <c r="Y26" s="4"/>
      <c r="Z26" s="4"/>
      <c r="AA26" s="4"/>
      <c r="AB26" s="4"/>
      <c r="AC26" s="4"/>
      <c r="AD26" s="4"/>
    </row>
    <row r="27" spans="1:30" ht="23">
      <c r="A27" s="34" t="s">
        <v>316</v>
      </c>
      <c r="B27" s="35" t="s">
        <v>317</v>
      </c>
      <c r="C27" s="35" t="s">
        <v>318</v>
      </c>
      <c r="D27" s="35" t="s">
        <v>319</v>
      </c>
      <c r="E27" s="35" t="s">
        <v>320</v>
      </c>
      <c r="F27" s="35" t="s">
        <v>110</v>
      </c>
      <c r="G27" s="35" t="s">
        <v>241</v>
      </c>
      <c r="H27" s="35" t="s">
        <v>154</v>
      </c>
      <c r="I27" s="35" t="s">
        <v>155</v>
      </c>
      <c r="J27" s="35" t="s">
        <v>321</v>
      </c>
      <c r="K27" s="35" t="s">
        <v>322</v>
      </c>
      <c r="L27" s="35" t="s">
        <v>323</v>
      </c>
      <c r="M27" s="35" t="s">
        <v>324</v>
      </c>
      <c r="N27" s="36"/>
      <c r="O27" s="35" t="s">
        <v>325</v>
      </c>
      <c r="P27" s="35" t="s">
        <v>326</v>
      </c>
      <c r="Q27" s="35" t="s">
        <v>327</v>
      </c>
      <c r="R27" s="35" t="s">
        <v>74</v>
      </c>
      <c r="S27" s="35" t="s">
        <v>282</v>
      </c>
      <c r="T27" s="37" t="s">
        <v>163</v>
      </c>
      <c r="U27" s="4"/>
      <c r="V27" s="4"/>
      <c r="W27" s="4"/>
      <c r="X27" s="4"/>
      <c r="Y27" s="4"/>
      <c r="Z27" s="4"/>
      <c r="AA27" s="4"/>
      <c r="AB27" s="4"/>
      <c r="AC27" s="4"/>
      <c r="AD27" s="4"/>
    </row>
    <row r="28" spans="1:30" ht="23">
      <c r="A28" s="18" t="s">
        <v>328</v>
      </c>
      <c r="B28" s="8" t="s">
        <v>317</v>
      </c>
      <c r="C28" s="8" t="s">
        <v>112</v>
      </c>
      <c r="D28" s="8" t="s">
        <v>329</v>
      </c>
      <c r="E28" s="8" t="s">
        <v>330</v>
      </c>
      <c r="F28" s="8" t="s">
        <v>110</v>
      </c>
      <c r="G28" s="8" t="s">
        <v>241</v>
      </c>
      <c r="H28" s="8" t="s">
        <v>154</v>
      </c>
      <c r="I28" s="8" t="s">
        <v>155</v>
      </c>
      <c r="J28" s="8" t="s">
        <v>331</v>
      </c>
      <c r="K28" s="8" t="s">
        <v>332</v>
      </c>
      <c r="L28" s="8" t="s">
        <v>333</v>
      </c>
      <c r="M28" s="8" t="s">
        <v>334</v>
      </c>
      <c r="N28" s="36"/>
      <c r="O28" s="8" t="s">
        <v>335</v>
      </c>
      <c r="P28" s="8" t="s">
        <v>336</v>
      </c>
      <c r="Q28" s="8" t="s">
        <v>337</v>
      </c>
      <c r="R28" s="8" t="s">
        <v>74</v>
      </c>
      <c r="S28" s="8" t="s">
        <v>162</v>
      </c>
      <c r="T28" s="9" t="s">
        <v>163</v>
      </c>
      <c r="U28" s="4"/>
      <c r="V28" s="4"/>
      <c r="W28" s="4"/>
      <c r="X28" s="4"/>
      <c r="Y28" s="4"/>
      <c r="Z28" s="4"/>
      <c r="AA28" s="4"/>
      <c r="AB28" s="4"/>
      <c r="AC28" s="4"/>
      <c r="AD28" s="4"/>
    </row>
    <row r="29" spans="1:30">
      <c r="A29" s="34" t="s">
        <v>338</v>
      </c>
      <c r="B29" s="35" t="s">
        <v>317</v>
      </c>
      <c r="C29" s="35" t="s">
        <v>339</v>
      </c>
      <c r="D29" s="35" t="s">
        <v>340</v>
      </c>
      <c r="E29" s="35" t="s">
        <v>341</v>
      </c>
      <c r="F29" s="35" t="s">
        <v>110</v>
      </c>
      <c r="G29" s="35" t="s">
        <v>153</v>
      </c>
      <c r="H29" s="35" t="s">
        <v>154</v>
      </c>
      <c r="I29" s="35" t="s">
        <v>155</v>
      </c>
      <c r="J29" s="35" t="s">
        <v>342</v>
      </c>
      <c r="K29" s="35" t="s">
        <v>343</v>
      </c>
      <c r="L29" s="35" t="s">
        <v>244</v>
      </c>
      <c r="M29" s="35" t="s">
        <v>344</v>
      </c>
      <c r="N29" s="36"/>
      <c r="O29" s="35" t="s">
        <v>345</v>
      </c>
      <c r="P29" s="35" t="s">
        <v>346</v>
      </c>
      <c r="Q29" s="35" t="s">
        <v>347</v>
      </c>
      <c r="R29" s="35" t="s">
        <v>90</v>
      </c>
      <c r="S29" s="35" t="s">
        <v>282</v>
      </c>
      <c r="T29" s="37" t="s">
        <v>163</v>
      </c>
      <c r="U29" s="4"/>
      <c r="V29" s="4"/>
      <c r="W29" s="4"/>
      <c r="X29" s="4"/>
      <c r="Y29" s="4"/>
      <c r="Z29" s="4"/>
      <c r="AA29" s="4"/>
      <c r="AB29" s="4"/>
      <c r="AC29" s="4"/>
      <c r="AD29" s="4"/>
    </row>
    <row r="30" spans="1:30" ht="23">
      <c r="A30" s="28" t="s">
        <v>348</v>
      </c>
      <c r="B30" s="10" t="s">
        <v>317</v>
      </c>
      <c r="C30" s="10" t="s">
        <v>349</v>
      </c>
      <c r="D30" s="10" t="s">
        <v>350</v>
      </c>
      <c r="E30" s="10" t="s">
        <v>351</v>
      </c>
      <c r="F30" s="10" t="s">
        <v>78</v>
      </c>
      <c r="G30" s="10" t="s">
        <v>308</v>
      </c>
      <c r="H30" s="10" t="s">
        <v>154</v>
      </c>
      <c r="I30" s="10" t="s">
        <v>210</v>
      </c>
      <c r="J30" s="10" t="s">
        <v>352</v>
      </c>
      <c r="K30" s="10" t="s">
        <v>353</v>
      </c>
      <c r="L30" s="10" t="s">
        <v>323</v>
      </c>
      <c r="M30" s="10" t="s">
        <v>354</v>
      </c>
      <c r="N30" s="38"/>
      <c r="O30" s="10" t="s">
        <v>355</v>
      </c>
      <c r="P30" s="10" t="s">
        <v>356</v>
      </c>
      <c r="Q30" s="10" t="s">
        <v>357</v>
      </c>
      <c r="R30" s="10" t="s">
        <v>74</v>
      </c>
      <c r="S30" s="10" t="s">
        <v>162</v>
      </c>
      <c r="T30" s="11" t="s">
        <v>163</v>
      </c>
      <c r="U30" s="4"/>
      <c r="V30" s="4"/>
      <c r="W30" s="4"/>
      <c r="X30" s="4"/>
      <c r="Y30" s="4"/>
      <c r="Z30" s="4"/>
      <c r="AA30" s="4"/>
      <c r="AB30" s="4"/>
      <c r="AC30" s="4"/>
      <c r="AD30" s="4"/>
    </row>
    <row r="31" spans="1:30">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row>
    <row r="32" spans="1:30" ht="16" customHeight="1">
      <c r="A32" s="195" t="s">
        <v>358</v>
      </c>
      <c r="B32" s="195"/>
      <c r="C32" s="195"/>
      <c r="D32" s="195"/>
      <c r="E32" s="195"/>
      <c r="F32" s="195"/>
      <c r="G32" s="195"/>
      <c r="H32" s="195"/>
      <c r="I32" s="195"/>
      <c r="J32" s="195"/>
      <c r="K32" s="195"/>
      <c r="L32" s="195"/>
      <c r="M32" s="195"/>
      <c r="N32" s="195"/>
      <c r="O32" s="195"/>
      <c r="P32" s="195"/>
      <c r="Q32" s="195"/>
      <c r="R32" s="195"/>
      <c r="S32" s="195"/>
      <c r="T32" s="195"/>
      <c r="U32" s="4"/>
      <c r="V32" s="4"/>
      <c r="W32" s="4"/>
      <c r="X32" s="4"/>
      <c r="Y32" s="4"/>
      <c r="Z32" s="4"/>
      <c r="AA32" s="4"/>
      <c r="AB32" s="4"/>
      <c r="AC32" s="4"/>
      <c r="AD32" s="4"/>
    </row>
    <row r="33" spans="1:30">
      <c r="A33" s="252" t="s">
        <v>359</v>
      </c>
      <c r="B33" s="253"/>
      <c r="C33" s="253"/>
      <c r="D33" s="253"/>
      <c r="E33" s="254"/>
      <c r="F33" s="252" t="s">
        <v>360</v>
      </c>
      <c r="G33" s="253"/>
      <c r="H33" s="253"/>
      <c r="I33" s="253"/>
      <c r="J33" s="254"/>
      <c r="K33" s="252" t="s">
        <v>361</v>
      </c>
      <c r="L33" s="253"/>
      <c r="M33" s="253"/>
      <c r="N33" s="253"/>
      <c r="O33" s="254"/>
      <c r="P33" s="252" t="s">
        <v>362</v>
      </c>
      <c r="Q33" s="253"/>
      <c r="R33" s="253"/>
      <c r="S33" s="253"/>
      <c r="T33" s="254"/>
      <c r="U33" s="4"/>
      <c r="V33" s="4"/>
      <c r="W33" s="4"/>
      <c r="X33" s="4"/>
      <c r="Y33" s="4"/>
      <c r="Z33" s="4"/>
      <c r="AA33" s="4"/>
      <c r="AB33" s="4"/>
      <c r="AC33" s="4"/>
      <c r="AD33" s="4"/>
    </row>
    <row r="34" spans="1:30">
      <c r="A34" s="255"/>
      <c r="B34" s="256"/>
      <c r="C34" s="256"/>
      <c r="D34" s="256"/>
      <c r="E34" s="257"/>
      <c r="F34" s="255"/>
      <c r="G34" s="256"/>
      <c r="H34" s="256"/>
      <c r="I34" s="256"/>
      <c r="J34" s="257"/>
      <c r="K34" s="255"/>
      <c r="L34" s="256"/>
      <c r="M34" s="256"/>
      <c r="N34" s="256"/>
      <c r="O34" s="257"/>
      <c r="P34" s="255"/>
      <c r="Q34" s="256"/>
      <c r="R34" s="256"/>
      <c r="S34" s="256"/>
      <c r="T34" s="257"/>
      <c r="U34" s="4"/>
      <c r="V34" s="4"/>
      <c r="W34" s="4"/>
      <c r="X34" s="4"/>
      <c r="Y34" s="4"/>
      <c r="Z34" s="4"/>
      <c r="AA34" s="4"/>
      <c r="AB34" s="4"/>
      <c r="AC34" s="4"/>
      <c r="AD34" s="4"/>
    </row>
    <row r="35" spans="1:30">
      <c r="A35" s="255"/>
      <c r="B35" s="256"/>
      <c r="C35" s="256"/>
      <c r="D35" s="256"/>
      <c r="E35" s="257"/>
      <c r="F35" s="255"/>
      <c r="G35" s="256"/>
      <c r="H35" s="256"/>
      <c r="I35" s="256"/>
      <c r="J35" s="257"/>
      <c r="K35" s="255"/>
      <c r="L35" s="256"/>
      <c r="M35" s="256"/>
      <c r="N35" s="256"/>
      <c r="O35" s="257"/>
      <c r="P35" s="255"/>
      <c r="Q35" s="256"/>
      <c r="R35" s="256"/>
      <c r="S35" s="256"/>
      <c r="T35" s="257"/>
      <c r="U35" s="4"/>
      <c r="V35" s="4"/>
      <c r="W35" s="4"/>
      <c r="X35" s="4"/>
      <c r="Y35" s="4"/>
      <c r="Z35" s="4"/>
      <c r="AA35" s="4"/>
      <c r="AB35" s="4"/>
      <c r="AC35" s="4"/>
      <c r="AD35" s="4"/>
    </row>
    <row r="36" spans="1:30">
      <c r="A36" s="255"/>
      <c r="B36" s="256"/>
      <c r="C36" s="256"/>
      <c r="D36" s="256"/>
      <c r="E36" s="257"/>
      <c r="F36" s="255"/>
      <c r="G36" s="256"/>
      <c r="H36" s="256"/>
      <c r="I36" s="256"/>
      <c r="J36" s="257"/>
      <c r="K36" s="255"/>
      <c r="L36" s="256"/>
      <c r="M36" s="256"/>
      <c r="N36" s="256"/>
      <c r="O36" s="257"/>
      <c r="P36" s="255"/>
      <c r="Q36" s="256"/>
      <c r="R36" s="256"/>
      <c r="S36" s="256"/>
      <c r="T36" s="257"/>
      <c r="U36" s="4"/>
      <c r="V36" s="4"/>
      <c r="W36" s="4"/>
      <c r="X36" s="4"/>
      <c r="Y36" s="4"/>
      <c r="Z36" s="4"/>
      <c r="AA36" s="4"/>
      <c r="AB36" s="4"/>
      <c r="AC36" s="4"/>
      <c r="AD36" s="4"/>
    </row>
    <row r="37" spans="1:30">
      <c r="A37" s="258"/>
      <c r="B37" s="259"/>
      <c r="C37" s="259"/>
      <c r="D37" s="259"/>
      <c r="E37" s="260"/>
      <c r="F37" s="258"/>
      <c r="G37" s="259"/>
      <c r="H37" s="259"/>
      <c r="I37" s="259"/>
      <c r="J37" s="260"/>
      <c r="K37" s="258"/>
      <c r="L37" s="259"/>
      <c r="M37" s="259"/>
      <c r="N37" s="259"/>
      <c r="O37" s="260"/>
      <c r="P37" s="258"/>
      <c r="Q37" s="259"/>
      <c r="R37" s="259"/>
      <c r="S37" s="259"/>
      <c r="T37" s="260"/>
      <c r="U37" s="4"/>
      <c r="V37" s="4"/>
      <c r="W37" s="4"/>
      <c r="X37" s="4"/>
      <c r="Y37" s="4"/>
      <c r="Z37" s="4"/>
      <c r="AA37" s="4"/>
      <c r="AB37" s="4"/>
      <c r="AC37" s="4"/>
      <c r="AD37" s="4"/>
    </row>
    <row r="38" spans="1:30">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row>
    <row r="39" spans="1:30" ht="13.4" customHeight="1">
      <c r="A39" s="220" t="s">
        <v>363</v>
      </c>
      <c r="B39" s="220"/>
      <c r="C39" s="220"/>
      <c r="D39" s="220"/>
      <c r="E39" s="220"/>
      <c r="F39" s="220"/>
      <c r="G39" s="220"/>
      <c r="H39" s="220"/>
      <c r="I39" s="220"/>
      <c r="J39" s="220"/>
      <c r="K39" s="220"/>
      <c r="L39" s="220"/>
      <c r="M39" s="220"/>
      <c r="N39" s="220"/>
      <c r="O39" s="220"/>
      <c r="P39" s="220"/>
      <c r="Q39" s="220"/>
      <c r="R39" s="220"/>
      <c r="S39" s="220"/>
      <c r="T39" s="220"/>
      <c r="U39" s="4"/>
      <c r="V39" s="4"/>
      <c r="W39" s="4"/>
      <c r="X39" s="4"/>
      <c r="Y39" s="4"/>
      <c r="Z39" s="4"/>
      <c r="AA39" s="4"/>
      <c r="AB39" s="4"/>
      <c r="AC39" s="4"/>
      <c r="AD39" s="4"/>
    </row>
    <row r="40" spans="1:30">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row>
    <row r="41" spans="1:30">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row>
    <row r="42" spans="1:30">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row>
    <row r="43" spans="1:30">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row>
    <row r="44" spans="1:30">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row>
    <row r="45" spans="1:30">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row>
    <row r="46" spans="1:30">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row>
    <row r="47" spans="1:30">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row>
    <row r="48" spans="1:30">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row>
    <row r="49" spans="1:30">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row>
    <row r="50" spans="1:30">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row>
    <row r="51" spans="1:30">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row>
    <row r="52" spans="1:30">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row>
    <row r="53" spans="1:30">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row>
    <row r="54" spans="1:30">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row>
    <row r="55" spans="1:30">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row>
    <row r="56" spans="1:30">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row>
    <row r="57" spans="1:30">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row>
    <row r="58" spans="1:30">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row>
    <row r="59" spans="1:30">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row>
    <row r="60" spans="1:30">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row>
    <row r="61" spans="1:30">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row>
    <row r="62" spans="1:30">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row>
    <row r="63" spans="1:30">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row>
    <row r="64" spans="1:30">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row>
    <row r="65" spans="1:30">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row>
    <row r="66" spans="1:30">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row>
    <row r="67" spans="1:30">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row>
    <row r="68" spans="1:30">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row>
    <row r="69" spans="1:30">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row>
    <row r="70" spans="1:30">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row>
    <row r="71" spans="1:30">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row>
    <row r="72" spans="1:30">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row>
    <row r="73" spans="1:30">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row>
    <row r="74" spans="1:30">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row>
    <row r="75" spans="1:30">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row>
    <row r="76" spans="1:30">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row>
    <row r="77" spans="1:30">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row>
    <row r="78" spans="1:30">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row>
    <row r="79" spans="1:30">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row>
    <row r="80" spans="1:30">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row>
    <row r="81" spans="1:30">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row>
    <row r="82" spans="1:30">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row>
    <row r="83" spans="1:30">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row>
    <row r="84" spans="1:30">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row>
    <row r="85" spans="1:30">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row>
    <row r="86" spans="1:30">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row>
    <row r="87" spans="1:30">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row>
    <row r="88" spans="1:30">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row>
    <row r="89" spans="1:30">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row>
    <row r="90" spans="1:30">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row>
  </sheetData>
  <mergeCells count="12">
    <mergeCell ref="A39:T39"/>
    <mergeCell ref="A10:T10"/>
    <mergeCell ref="A32:T32"/>
    <mergeCell ref="A33:E37"/>
    <mergeCell ref="F33:J37"/>
    <mergeCell ref="K33:O37"/>
    <mergeCell ref="P33:T37"/>
    <mergeCell ref="A1:G1"/>
    <mergeCell ref="H1:T1"/>
    <mergeCell ref="A2:T2"/>
    <mergeCell ref="A3:T3"/>
    <mergeCell ref="A6:T8"/>
  </mergeCells>
  <conditionalFormatting sqref="T12:T30">
    <cfRule type="expression" dxfId="7" priority="1">
      <formula>T12="Approved"</formula>
    </cfRule>
    <cfRule type="expression" dxfId="6" priority="2">
      <formula>T12="Under Review"</formula>
    </cfRule>
  </conditionalFormatting>
  <dataValidations count="2">
    <dataValidation type="list" sqref="T12:T30">
      <formula1>"Draft,Under Review,Approved,Retired"</formula1>
    </dataValidation>
    <dataValidation type="list" sqref="S12:S30">
      <formula1>"1 - Low,2 - Moderate,3 - Good,4 - Strong,5 - Controlled"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0"/>
  <sheetViews>
    <sheetView workbookViewId="0">
      <selection sqref="A1:G1"/>
    </sheetView>
  </sheetViews>
  <sheetFormatPr defaultRowHeight="14"/>
  <cols>
    <col min="1" max="1" width="31" customWidth="1"/>
    <col min="2" max="19" width="11" customWidth="1"/>
    <col min="20" max="20" width="13" customWidth="1"/>
    <col min="21" max="21" width="33" customWidth="1"/>
  </cols>
  <sheetData>
    <row r="1" spans="1:30" ht="14.65" customHeight="1">
      <c r="A1" s="103" t="s">
        <v>0</v>
      </c>
      <c r="B1" s="103"/>
      <c r="C1" s="103"/>
      <c r="D1" s="103"/>
      <c r="E1" s="103"/>
      <c r="F1" s="103"/>
      <c r="G1" s="103"/>
      <c r="H1" s="104" t="s">
        <v>1</v>
      </c>
      <c r="I1" s="104"/>
      <c r="J1" s="104"/>
      <c r="K1" s="104"/>
      <c r="L1" s="104"/>
      <c r="M1" s="104"/>
      <c r="N1" s="104"/>
      <c r="O1" s="104"/>
      <c r="P1" s="104"/>
      <c r="Q1" s="104"/>
      <c r="R1" s="104"/>
      <c r="S1" s="104"/>
      <c r="T1" s="104"/>
      <c r="U1" s="104"/>
      <c r="V1" s="4"/>
      <c r="W1" s="4"/>
      <c r="X1" s="4"/>
      <c r="Y1" s="4"/>
      <c r="Z1" s="4"/>
      <c r="AA1" s="4"/>
      <c r="AB1" s="4"/>
      <c r="AC1" s="4"/>
      <c r="AD1" s="4"/>
    </row>
    <row r="2" spans="1:30" ht="25.4" customHeight="1">
      <c r="A2" s="105" t="s">
        <v>364</v>
      </c>
      <c r="B2" s="105"/>
      <c r="C2" s="105"/>
      <c r="D2" s="105"/>
      <c r="E2" s="105"/>
      <c r="F2" s="105"/>
      <c r="G2" s="105"/>
      <c r="H2" s="105"/>
      <c r="I2" s="105"/>
      <c r="J2" s="105"/>
      <c r="K2" s="105"/>
      <c r="L2" s="105"/>
      <c r="M2" s="105"/>
      <c r="N2" s="105"/>
      <c r="O2" s="105"/>
      <c r="P2" s="105"/>
      <c r="Q2" s="105"/>
      <c r="R2" s="105"/>
      <c r="S2" s="105"/>
      <c r="T2" s="105"/>
      <c r="U2" s="105"/>
      <c r="V2" s="4"/>
      <c r="W2" s="4"/>
      <c r="X2" s="4"/>
      <c r="Y2" s="4"/>
      <c r="Z2" s="4"/>
      <c r="AA2" s="4"/>
      <c r="AB2" s="4"/>
      <c r="AC2" s="4"/>
      <c r="AD2" s="4"/>
    </row>
    <row r="3" spans="1:30" ht="14.65" customHeight="1">
      <c r="A3" s="106" t="s">
        <v>365</v>
      </c>
      <c r="B3" s="106"/>
      <c r="C3" s="106"/>
      <c r="D3" s="106"/>
      <c r="E3" s="106"/>
      <c r="F3" s="106"/>
      <c r="G3" s="106"/>
      <c r="H3" s="106"/>
      <c r="I3" s="106"/>
      <c r="J3" s="106"/>
      <c r="K3" s="106"/>
      <c r="L3" s="106"/>
      <c r="M3" s="106"/>
      <c r="N3" s="106"/>
      <c r="O3" s="106"/>
      <c r="P3" s="106"/>
      <c r="Q3" s="106"/>
      <c r="R3" s="106"/>
      <c r="S3" s="106"/>
      <c r="T3" s="106"/>
      <c r="U3" s="106"/>
      <c r="V3" s="4"/>
      <c r="W3" s="4"/>
      <c r="X3" s="4"/>
      <c r="Y3" s="4"/>
      <c r="Z3" s="4"/>
      <c r="AA3" s="4"/>
      <c r="AB3" s="4"/>
      <c r="AC3" s="4"/>
      <c r="AD3" s="4"/>
    </row>
    <row r="4" spans="1:30" ht="3.4" customHeight="1">
      <c r="A4" s="5"/>
      <c r="B4" s="5"/>
      <c r="C4" s="5"/>
      <c r="D4" s="5"/>
      <c r="E4" s="5"/>
      <c r="F4" s="5"/>
      <c r="G4" s="5"/>
      <c r="H4" s="5"/>
      <c r="I4" s="5"/>
      <c r="J4" s="5"/>
      <c r="K4" s="5"/>
      <c r="L4" s="5"/>
      <c r="M4" s="5"/>
      <c r="N4" s="5"/>
      <c r="O4" s="5"/>
      <c r="P4" s="5"/>
      <c r="Q4" s="5"/>
      <c r="R4" s="5"/>
      <c r="S4" s="5"/>
      <c r="T4" s="5"/>
      <c r="U4" s="5"/>
      <c r="V4" s="4"/>
      <c r="W4" s="4"/>
      <c r="X4" s="4"/>
      <c r="Y4" s="4"/>
      <c r="Z4" s="4"/>
      <c r="AA4" s="4"/>
      <c r="AB4" s="4"/>
      <c r="AC4" s="4"/>
      <c r="AD4" s="4"/>
    </row>
    <row r="5" spans="1:30">
      <c r="A5" s="4"/>
      <c r="B5" s="4"/>
      <c r="C5" s="4"/>
      <c r="D5" s="4"/>
      <c r="E5" s="4"/>
      <c r="F5" s="4"/>
      <c r="G5" s="4"/>
      <c r="H5" s="4"/>
      <c r="I5" s="4"/>
      <c r="J5" s="4"/>
      <c r="K5" s="4"/>
      <c r="L5" s="4"/>
      <c r="M5" s="4"/>
      <c r="N5" s="4"/>
      <c r="O5" s="4"/>
      <c r="P5" s="4"/>
      <c r="Q5" s="4"/>
      <c r="R5" s="4"/>
      <c r="S5" s="4"/>
      <c r="T5" s="4"/>
      <c r="U5" s="4"/>
      <c r="V5" s="4"/>
      <c r="W5" s="4"/>
      <c r="X5" s="4"/>
      <c r="Y5" s="4"/>
      <c r="Z5" s="4"/>
      <c r="AA5" s="4"/>
      <c r="AB5" s="4"/>
      <c r="AC5" s="4"/>
      <c r="AD5" s="4"/>
    </row>
    <row r="6" spans="1:30" ht="16" customHeight="1">
      <c r="A6" s="39" t="s">
        <v>366</v>
      </c>
      <c r="B6" s="40" t="s">
        <v>367</v>
      </c>
      <c r="C6" s="4"/>
      <c r="D6" s="270" t="s">
        <v>368</v>
      </c>
      <c r="E6" s="270"/>
      <c r="F6" s="270"/>
      <c r="G6" s="270"/>
      <c r="H6" s="270"/>
      <c r="I6" s="270"/>
      <c r="J6" s="270"/>
      <c r="K6" s="270"/>
      <c r="L6" s="270"/>
      <c r="M6" s="270"/>
      <c r="N6" s="270"/>
      <c r="O6" s="270"/>
      <c r="P6" s="270"/>
      <c r="Q6" s="270"/>
      <c r="R6" s="270"/>
      <c r="S6" s="270"/>
      <c r="T6" s="270"/>
      <c r="U6" s="270"/>
      <c r="V6" s="4"/>
      <c r="W6" s="4"/>
      <c r="X6" s="4"/>
      <c r="Y6" s="4"/>
      <c r="Z6" s="4"/>
      <c r="AA6" s="4"/>
      <c r="AB6" s="4"/>
      <c r="AC6" s="4"/>
      <c r="AD6" s="4"/>
    </row>
    <row r="7" spans="1:30" ht="25.4" customHeight="1">
      <c r="A7" s="4"/>
      <c r="B7" s="4"/>
      <c r="C7" s="4"/>
      <c r="D7" s="41" t="s">
        <v>369</v>
      </c>
      <c r="E7" s="42" t="s">
        <v>370</v>
      </c>
      <c r="F7" s="42" t="s">
        <v>371</v>
      </c>
      <c r="G7" s="42" t="s">
        <v>372</v>
      </c>
      <c r="H7" s="42" t="s">
        <v>373</v>
      </c>
      <c r="I7" s="42" t="s">
        <v>374</v>
      </c>
      <c r="J7" s="42" t="s">
        <v>375</v>
      </c>
      <c r="K7" s="43" t="s">
        <v>376</v>
      </c>
      <c r="L7" s="4"/>
      <c r="M7" s="1" t="s">
        <v>377</v>
      </c>
      <c r="N7" s="2" t="s">
        <v>378</v>
      </c>
      <c r="O7" s="2" t="s">
        <v>379</v>
      </c>
      <c r="P7" s="2" t="s">
        <v>380</v>
      </c>
      <c r="Q7" s="2" t="s">
        <v>381</v>
      </c>
      <c r="R7" s="2" t="s">
        <v>382</v>
      </c>
      <c r="S7" s="2" t="s">
        <v>383</v>
      </c>
      <c r="T7" s="3" t="s">
        <v>384</v>
      </c>
      <c r="U7" s="4"/>
      <c r="V7" s="4"/>
      <c r="W7" s="4"/>
      <c r="X7" s="4"/>
      <c r="Y7" s="4"/>
      <c r="Z7" s="4"/>
      <c r="AA7" s="4"/>
      <c r="AB7" s="4"/>
      <c r="AC7" s="4"/>
      <c r="AD7" s="4"/>
    </row>
    <row r="8" spans="1:30">
      <c r="A8" s="4"/>
      <c r="B8" s="4"/>
      <c r="C8" s="4"/>
      <c r="D8" s="15" t="s">
        <v>367</v>
      </c>
      <c r="E8" s="17">
        <v>1</v>
      </c>
      <c r="F8" s="17">
        <v>1</v>
      </c>
      <c r="G8" s="17">
        <v>1</v>
      </c>
      <c r="H8" s="17">
        <v>1</v>
      </c>
      <c r="I8" s="45">
        <v>0</v>
      </c>
      <c r="J8" s="45">
        <v>0</v>
      </c>
      <c r="K8" s="46">
        <v>1</v>
      </c>
      <c r="L8" s="4"/>
      <c r="M8" s="47" t="str">
        <f>$B$6</f>
        <v>Base</v>
      </c>
      <c r="N8" s="48">
        <f>IF($B$6="Base",$E$8,IF($B$6="Upside",$E$9,$E$10))</f>
        <v>1</v>
      </c>
      <c r="O8" s="48">
        <f>IF($B$6="Base",$F$8,IF($B$6="Upside",$F$9,$F$10))</f>
        <v>1</v>
      </c>
      <c r="P8" s="48">
        <f>IF($B$6="Base",$G$8,IF($B$6="Upside",$G$9,$G$10))</f>
        <v>1</v>
      </c>
      <c r="Q8" s="48">
        <f>IF($B$6="Base",$H$8,IF($B$6="Upside",$H$9,$H$10))</f>
        <v>1</v>
      </c>
      <c r="R8" s="49">
        <f>IF($B$6="Base",$I$8,IF($B$6="Upside",$I$9,$I$10))</f>
        <v>0</v>
      </c>
      <c r="S8" s="49">
        <f>IF($B$6="Base",$J$8,IF($B$6="Upside",$J$9,$J$10))</f>
        <v>0</v>
      </c>
      <c r="T8" s="50">
        <f>IF($B$6="Base",$K$8,IF($B$6="Upside",$K$9,$K$10))</f>
        <v>1</v>
      </c>
      <c r="U8" s="4"/>
      <c r="V8" s="4"/>
      <c r="W8" s="4"/>
      <c r="X8" s="4"/>
      <c r="Y8" s="4"/>
      <c r="Z8" s="4"/>
      <c r="AA8" s="4"/>
      <c r="AB8" s="4"/>
      <c r="AC8" s="4"/>
      <c r="AD8" s="4"/>
    </row>
    <row r="9" spans="1:30">
      <c r="A9" s="4"/>
      <c r="B9" s="4"/>
      <c r="C9" s="4"/>
      <c r="D9" s="18" t="s">
        <v>67</v>
      </c>
      <c r="E9" s="20">
        <v>1.06</v>
      </c>
      <c r="F9" s="20">
        <v>1.01</v>
      </c>
      <c r="G9" s="20">
        <v>0.96</v>
      </c>
      <c r="H9" s="20">
        <v>1.0249999999999999</v>
      </c>
      <c r="I9" s="27">
        <v>-3</v>
      </c>
      <c r="J9" s="27">
        <v>-4</v>
      </c>
      <c r="K9" s="51">
        <v>1.1000000000000001</v>
      </c>
      <c r="L9" s="4"/>
      <c r="M9" s="4"/>
      <c r="N9" s="4"/>
      <c r="O9" s="4"/>
      <c r="P9" s="4"/>
      <c r="Q9" s="4"/>
      <c r="R9" s="4"/>
      <c r="S9" s="4"/>
      <c r="T9" s="4"/>
      <c r="U9" s="4"/>
      <c r="V9" s="4"/>
      <c r="W9" s="4"/>
      <c r="X9" s="4"/>
      <c r="Y9" s="4"/>
      <c r="Z9" s="4"/>
      <c r="AA9" s="4"/>
      <c r="AB9" s="4"/>
      <c r="AC9" s="4"/>
      <c r="AD9" s="4"/>
    </row>
    <row r="10" spans="1:30">
      <c r="A10" s="4"/>
      <c r="B10" s="4"/>
      <c r="C10" s="4"/>
      <c r="D10" s="28" t="s">
        <v>68</v>
      </c>
      <c r="E10" s="29">
        <v>0.92</v>
      </c>
      <c r="F10" s="29">
        <v>0.99</v>
      </c>
      <c r="G10" s="29">
        <v>1.08</v>
      </c>
      <c r="H10" s="29">
        <v>0.98</v>
      </c>
      <c r="I10" s="52">
        <v>5</v>
      </c>
      <c r="J10" s="52">
        <v>7</v>
      </c>
      <c r="K10" s="53">
        <v>0.8</v>
      </c>
      <c r="L10" s="4"/>
      <c r="M10" s="4"/>
      <c r="N10" s="4"/>
      <c r="O10" s="4"/>
      <c r="P10" s="4"/>
      <c r="Q10" s="4"/>
      <c r="R10" s="4"/>
      <c r="S10" s="4"/>
      <c r="T10" s="4"/>
      <c r="U10" s="4"/>
      <c r="V10" s="4"/>
      <c r="W10" s="4"/>
      <c r="X10" s="4"/>
      <c r="Y10" s="4"/>
      <c r="Z10" s="4"/>
      <c r="AA10" s="4"/>
      <c r="AB10" s="4"/>
      <c r="AC10" s="4"/>
      <c r="AD10" s="4"/>
    </row>
    <row r="11" spans="1:30">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row>
    <row r="12" spans="1:30" ht="16" customHeight="1">
      <c r="A12" s="125" t="s">
        <v>385</v>
      </c>
      <c r="B12" s="125"/>
      <c r="C12" s="125"/>
      <c r="D12" s="125"/>
      <c r="E12" s="125"/>
      <c r="F12" s="125"/>
      <c r="G12" s="125"/>
      <c r="H12" s="125"/>
      <c r="I12" s="125"/>
      <c r="J12" s="125"/>
      <c r="K12" s="125"/>
      <c r="L12" s="125"/>
      <c r="M12" s="125"/>
      <c r="N12" s="125"/>
      <c r="O12" s="125"/>
      <c r="P12" s="125"/>
      <c r="Q12" s="125"/>
      <c r="R12" s="125"/>
      <c r="S12" s="125"/>
      <c r="T12" s="125"/>
      <c r="U12" s="125"/>
      <c r="V12" s="4"/>
      <c r="W12" s="4"/>
      <c r="X12" s="4"/>
      <c r="Y12" s="4"/>
      <c r="Z12" s="4"/>
      <c r="AA12" s="4"/>
      <c r="AB12" s="4"/>
      <c r="AC12" s="4"/>
      <c r="AD12" s="4"/>
    </row>
    <row r="13" spans="1:30">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row>
    <row r="14" spans="1:30" ht="25.4" customHeight="1">
      <c r="A14" s="30" t="s">
        <v>386</v>
      </c>
      <c r="B14" s="44">
        <v>44105</v>
      </c>
      <c r="C14" s="44">
        <v>44136</v>
      </c>
      <c r="D14" s="44">
        <v>44166</v>
      </c>
      <c r="E14" s="44">
        <v>44197</v>
      </c>
      <c r="F14" s="44">
        <v>44228</v>
      </c>
      <c r="G14" s="44">
        <v>44256</v>
      </c>
      <c r="H14" s="44">
        <v>44287</v>
      </c>
      <c r="I14" s="44">
        <v>44317</v>
      </c>
      <c r="J14" s="44">
        <v>44348</v>
      </c>
      <c r="K14" s="44">
        <v>44378</v>
      </c>
      <c r="L14" s="44">
        <v>44409</v>
      </c>
      <c r="M14" s="44">
        <v>44440</v>
      </c>
      <c r="N14" s="44">
        <v>44470</v>
      </c>
      <c r="O14" s="44">
        <v>44501</v>
      </c>
      <c r="P14" s="44">
        <v>44531</v>
      </c>
      <c r="Q14" s="44">
        <v>44562</v>
      </c>
      <c r="R14" s="44">
        <v>44593</v>
      </c>
      <c r="S14" s="44">
        <v>44621</v>
      </c>
      <c r="T14" s="31" t="s">
        <v>69</v>
      </c>
      <c r="U14" s="32" t="s">
        <v>387</v>
      </c>
      <c r="V14" s="4"/>
      <c r="W14" s="4"/>
      <c r="X14" s="4"/>
      <c r="Y14" s="4"/>
      <c r="Z14" s="4"/>
      <c r="AA14" s="4"/>
      <c r="AB14" s="4"/>
      <c r="AC14" s="4"/>
      <c r="AD14" s="4"/>
    </row>
    <row r="15" spans="1:30">
      <c r="A15" s="54" t="s">
        <v>149</v>
      </c>
      <c r="B15" s="55"/>
      <c r="C15" s="55"/>
      <c r="D15" s="55"/>
      <c r="E15" s="55"/>
      <c r="F15" s="55"/>
      <c r="G15" s="55"/>
      <c r="H15" s="55"/>
      <c r="I15" s="55"/>
      <c r="J15" s="55"/>
      <c r="K15" s="55"/>
      <c r="L15" s="55"/>
      <c r="M15" s="55"/>
      <c r="N15" s="55"/>
      <c r="O15" s="55"/>
      <c r="P15" s="55"/>
      <c r="Q15" s="55"/>
      <c r="R15" s="55"/>
      <c r="S15" s="55"/>
      <c r="T15" s="6" t="s">
        <v>152</v>
      </c>
      <c r="U15" s="7" t="s">
        <v>388</v>
      </c>
      <c r="V15" s="4"/>
      <c r="W15" s="4"/>
      <c r="X15" s="4"/>
      <c r="Y15" s="4"/>
      <c r="Z15" s="4"/>
      <c r="AA15" s="4"/>
      <c r="AB15" s="4"/>
      <c r="AC15" s="4"/>
      <c r="AD15" s="4"/>
    </row>
    <row r="16" spans="1:30">
      <c r="A16" s="56" t="s">
        <v>389</v>
      </c>
      <c r="B16" s="57"/>
      <c r="C16" s="57"/>
      <c r="D16" s="57"/>
      <c r="E16" s="57"/>
      <c r="F16" s="57"/>
      <c r="G16" s="57"/>
      <c r="H16" s="57"/>
      <c r="I16" s="57"/>
      <c r="J16" s="57"/>
      <c r="K16" s="57"/>
      <c r="L16" s="57"/>
      <c r="M16" s="57"/>
      <c r="N16" s="57"/>
      <c r="O16" s="57"/>
      <c r="P16" s="57"/>
      <c r="Q16" s="57"/>
      <c r="R16" s="57"/>
      <c r="S16" s="57"/>
      <c r="T16" s="35" t="s">
        <v>168</v>
      </c>
      <c r="U16" s="37" t="s">
        <v>390</v>
      </c>
      <c r="V16" s="4"/>
      <c r="W16" s="4"/>
      <c r="X16" s="4"/>
      <c r="Y16" s="4"/>
      <c r="Z16" s="4"/>
      <c r="AA16" s="4"/>
      <c r="AB16" s="4"/>
      <c r="AC16" s="4"/>
      <c r="AD16" s="4"/>
    </row>
    <row r="17" spans="1:30">
      <c r="A17" s="58" t="s">
        <v>177</v>
      </c>
      <c r="B17" s="59"/>
      <c r="C17" s="59"/>
      <c r="D17" s="59"/>
      <c r="E17" s="59"/>
      <c r="F17" s="59"/>
      <c r="G17" s="59"/>
      <c r="H17" s="59"/>
      <c r="I17" s="59"/>
      <c r="J17" s="59"/>
      <c r="K17" s="59"/>
      <c r="L17" s="59"/>
      <c r="M17" s="59"/>
      <c r="N17" s="59"/>
      <c r="O17" s="59"/>
      <c r="P17" s="59"/>
      <c r="Q17" s="59"/>
      <c r="R17" s="59"/>
      <c r="S17" s="59"/>
      <c r="T17" s="8" t="s">
        <v>152</v>
      </c>
      <c r="U17" s="9" t="s">
        <v>388</v>
      </c>
      <c r="V17" s="4"/>
      <c r="W17" s="4"/>
      <c r="X17" s="4"/>
      <c r="Y17" s="4"/>
      <c r="Z17" s="4"/>
      <c r="AA17" s="4"/>
      <c r="AB17" s="4"/>
      <c r="AC17" s="4"/>
      <c r="AD17" s="4"/>
    </row>
    <row r="18" spans="1:30">
      <c r="A18" s="56" t="s">
        <v>391</v>
      </c>
      <c r="B18" s="57"/>
      <c r="C18" s="57"/>
      <c r="D18" s="57"/>
      <c r="E18" s="57"/>
      <c r="F18" s="57"/>
      <c r="G18" s="57"/>
      <c r="H18" s="57"/>
      <c r="I18" s="57"/>
      <c r="J18" s="57"/>
      <c r="K18" s="57"/>
      <c r="L18" s="57"/>
      <c r="M18" s="57"/>
      <c r="N18" s="57"/>
      <c r="O18" s="57"/>
      <c r="P18" s="57"/>
      <c r="Q18" s="57"/>
      <c r="R18" s="57"/>
      <c r="S18" s="57"/>
      <c r="T18" s="35" t="s">
        <v>168</v>
      </c>
      <c r="U18" s="37" t="s">
        <v>390</v>
      </c>
      <c r="V18" s="4"/>
      <c r="W18" s="4"/>
      <c r="X18" s="4"/>
      <c r="Y18" s="4"/>
      <c r="Z18" s="4"/>
      <c r="AA18" s="4"/>
      <c r="AB18" s="4"/>
      <c r="AC18" s="4"/>
      <c r="AD18" s="4"/>
    </row>
    <row r="19" spans="1:30">
      <c r="A19" s="58" t="s">
        <v>194</v>
      </c>
      <c r="B19" s="59"/>
      <c r="C19" s="59"/>
      <c r="D19" s="59"/>
      <c r="E19" s="59"/>
      <c r="F19" s="59"/>
      <c r="G19" s="59"/>
      <c r="H19" s="59"/>
      <c r="I19" s="59"/>
      <c r="J19" s="59"/>
      <c r="K19" s="59"/>
      <c r="L19" s="59"/>
      <c r="M19" s="59"/>
      <c r="N19" s="59"/>
      <c r="O19" s="59"/>
      <c r="P19" s="59"/>
      <c r="Q19" s="59"/>
      <c r="R19" s="59"/>
      <c r="S19" s="59"/>
      <c r="T19" s="8" t="s">
        <v>197</v>
      </c>
      <c r="U19" s="9" t="s">
        <v>392</v>
      </c>
      <c r="V19" s="4"/>
      <c r="W19" s="4"/>
      <c r="X19" s="4"/>
      <c r="Y19" s="4"/>
      <c r="Z19" s="4"/>
      <c r="AA19" s="4"/>
      <c r="AB19" s="4"/>
      <c r="AC19" s="4"/>
      <c r="AD19" s="4"/>
    </row>
    <row r="20" spans="1:30">
      <c r="A20" s="56" t="s">
        <v>393</v>
      </c>
      <c r="B20" s="57"/>
      <c r="C20" s="57"/>
      <c r="D20" s="57"/>
      <c r="E20" s="57"/>
      <c r="F20" s="57"/>
      <c r="G20" s="57"/>
      <c r="H20" s="57"/>
      <c r="I20" s="57"/>
      <c r="J20" s="57"/>
      <c r="K20" s="57"/>
      <c r="L20" s="57"/>
      <c r="M20" s="57"/>
      <c r="N20" s="57"/>
      <c r="O20" s="57"/>
      <c r="P20" s="57"/>
      <c r="Q20" s="57"/>
      <c r="R20" s="57"/>
      <c r="S20" s="57"/>
      <c r="T20" s="35" t="s">
        <v>394</v>
      </c>
      <c r="U20" s="37" t="s">
        <v>395</v>
      </c>
      <c r="V20" s="4"/>
      <c r="W20" s="4"/>
      <c r="X20" s="4"/>
      <c r="Y20" s="4"/>
      <c r="Z20" s="4"/>
      <c r="AA20" s="4"/>
      <c r="AB20" s="4"/>
      <c r="AC20" s="4"/>
      <c r="AD20" s="4"/>
    </row>
    <row r="21" spans="1:30">
      <c r="A21" s="58" t="s">
        <v>206</v>
      </c>
      <c r="B21" s="59"/>
      <c r="C21" s="59"/>
      <c r="D21" s="59"/>
      <c r="E21" s="59"/>
      <c r="F21" s="59"/>
      <c r="G21" s="59"/>
      <c r="H21" s="59"/>
      <c r="I21" s="59"/>
      <c r="J21" s="59"/>
      <c r="K21" s="59"/>
      <c r="L21" s="59"/>
      <c r="M21" s="59"/>
      <c r="N21" s="59"/>
      <c r="O21" s="59"/>
      <c r="P21" s="59"/>
      <c r="Q21" s="59"/>
      <c r="R21" s="59"/>
      <c r="S21" s="59"/>
      <c r="T21" s="8" t="s">
        <v>209</v>
      </c>
      <c r="U21" s="9" t="s">
        <v>396</v>
      </c>
      <c r="V21" s="4"/>
      <c r="W21" s="4"/>
      <c r="X21" s="4"/>
      <c r="Y21" s="4"/>
      <c r="Z21" s="4"/>
      <c r="AA21" s="4"/>
      <c r="AB21" s="4"/>
      <c r="AC21" s="4"/>
      <c r="AD21" s="4"/>
    </row>
    <row r="22" spans="1:30">
      <c r="A22" s="56" t="s">
        <v>397</v>
      </c>
      <c r="B22" s="57"/>
      <c r="C22" s="57"/>
      <c r="D22" s="57"/>
      <c r="E22" s="57"/>
      <c r="F22" s="57"/>
      <c r="G22" s="57"/>
      <c r="H22" s="57"/>
      <c r="I22" s="57"/>
      <c r="J22" s="57"/>
      <c r="K22" s="57"/>
      <c r="L22" s="57"/>
      <c r="M22" s="57"/>
      <c r="N22" s="57"/>
      <c r="O22" s="57"/>
      <c r="P22" s="57"/>
      <c r="Q22" s="57"/>
      <c r="R22" s="57"/>
      <c r="S22" s="57"/>
      <c r="T22" s="35" t="s">
        <v>398</v>
      </c>
      <c r="U22" s="37" t="s">
        <v>399</v>
      </c>
      <c r="V22" s="4"/>
      <c r="W22" s="4"/>
      <c r="X22" s="4"/>
      <c r="Y22" s="4"/>
      <c r="Z22" s="4"/>
      <c r="AA22" s="4"/>
      <c r="AB22" s="4"/>
      <c r="AC22" s="4"/>
      <c r="AD22" s="4"/>
    </row>
    <row r="23" spans="1:30">
      <c r="A23" s="58" t="s">
        <v>400</v>
      </c>
      <c r="B23" s="59"/>
      <c r="C23" s="59"/>
      <c r="D23" s="59"/>
      <c r="E23" s="59"/>
      <c r="F23" s="59"/>
      <c r="G23" s="59"/>
      <c r="H23" s="59"/>
      <c r="I23" s="59"/>
      <c r="J23" s="59"/>
      <c r="K23" s="59"/>
      <c r="L23" s="59"/>
      <c r="M23" s="59"/>
      <c r="N23" s="59"/>
      <c r="O23" s="59"/>
      <c r="P23" s="59"/>
      <c r="Q23" s="59"/>
      <c r="R23" s="59"/>
      <c r="S23" s="59"/>
      <c r="T23" s="8" t="s">
        <v>274</v>
      </c>
      <c r="U23" s="9" t="s">
        <v>401</v>
      </c>
      <c r="V23" s="4"/>
      <c r="W23" s="4"/>
      <c r="X23" s="4"/>
      <c r="Y23" s="4"/>
      <c r="Z23" s="4"/>
      <c r="AA23" s="4"/>
      <c r="AB23" s="4"/>
      <c r="AC23" s="4"/>
      <c r="AD23" s="4"/>
    </row>
    <row r="24" spans="1:30">
      <c r="A24" s="56" t="s">
        <v>402</v>
      </c>
      <c r="B24" s="59"/>
      <c r="C24" s="59"/>
      <c r="D24" s="59"/>
      <c r="E24" s="59"/>
      <c r="F24" s="59"/>
      <c r="G24" s="59"/>
      <c r="H24" s="59"/>
      <c r="I24" s="59"/>
      <c r="J24" s="59"/>
      <c r="K24" s="59"/>
      <c r="L24" s="59"/>
      <c r="M24" s="59"/>
      <c r="N24" s="59"/>
      <c r="O24" s="59"/>
      <c r="P24" s="59"/>
      <c r="Q24" s="59"/>
      <c r="R24" s="59"/>
      <c r="S24" s="59"/>
      <c r="T24" s="35" t="s">
        <v>403</v>
      </c>
      <c r="U24" s="37" t="s">
        <v>404</v>
      </c>
      <c r="V24" s="4"/>
      <c r="W24" s="4"/>
      <c r="X24" s="4"/>
      <c r="Y24" s="4"/>
      <c r="Z24" s="4"/>
      <c r="AA24" s="4"/>
      <c r="AB24" s="4"/>
      <c r="AC24" s="4"/>
      <c r="AD24" s="4"/>
    </row>
    <row r="25" spans="1:30">
      <c r="A25" s="58" t="s">
        <v>101</v>
      </c>
      <c r="B25" s="57"/>
      <c r="C25" s="57"/>
      <c r="D25" s="57"/>
      <c r="E25" s="57"/>
      <c r="F25" s="57"/>
      <c r="G25" s="57"/>
      <c r="H25" s="57"/>
      <c r="I25" s="57"/>
      <c r="J25" s="57"/>
      <c r="K25" s="57"/>
      <c r="L25" s="57"/>
      <c r="M25" s="57"/>
      <c r="N25" s="57"/>
      <c r="O25" s="57"/>
      <c r="P25" s="57"/>
      <c r="Q25" s="57"/>
      <c r="R25" s="57"/>
      <c r="S25" s="57"/>
      <c r="T25" s="8" t="s">
        <v>78</v>
      </c>
      <c r="U25" s="9" t="s">
        <v>405</v>
      </c>
      <c r="V25" s="4"/>
      <c r="W25" s="4"/>
      <c r="X25" s="4"/>
      <c r="Y25" s="4"/>
      <c r="Z25" s="4"/>
      <c r="AA25" s="4"/>
      <c r="AB25" s="4"/>
      <c r="AC25" s="4"/>
      <c r="AD25" s="4"/>
    </row>
    <row r="26" spans="1:30">
      <c r="A26" s="56" t="s">
        <v>227</v>
      </c>
      <c r="B26" s="60"/>
      <c r="C26" s="60"/>
      <c r="D26" s="60"/>
      <c r="E26" s="60"/>
      <c r="F26" s="60"/>
      <c r="G26" s="60"/>
      <c r="H26" s="60"/>
      <c r="I26" s="60"/>
      <c r="J26" s="60"/>
      <c r="K26" s="60"/>
      <c r="L26" s="60"/>
      <c r="M26" s="60"/>
      <c r="N26" s="60"/>
      <c r="O26" s="60"/>
      <c r="P26" s="60"/>
      <c r="Q26" s="60"/>
      <c r="R26" s="60"/>
      <c r="S26" s="60"/>
      <c r="T26" s="35" t="s">
        <v>230</v>
      </c>
      <c r="U26" s="37" t="s">
        <v>406</v>
      </c>
      <c r="V26" s="4"/>
      <c r="W26" s="4"/>
      <c r="X26" s="4"/>
      <c r="Y26" s="4"/>
      <c r="Z26" s="4"/>
      <c r="AA26" s="4"/>
      <c r="AB26" s="4"/>
      <c r="AC26" s="4"/>
      <c r="AD26" s="4"/>
    </row>
    <row r="27" spans="1:30">
      <c r="A27" s="58" t="s">
        <v>407</v>
      </c>
      <c r="B27" s="59"/>
      <c r="C27" s="59"/>
      <c r="D27" s="59"/>
      <c r="E27" s="59"/>
      <c r="F27" s="59"/>
      <c r="G27" s="59"/>
      <c r="H27" s="59"/>
      <c r="I27" s="59"/>
      <c r="J27" s="59"/>
      <c r="K27" s="59"/>
      <c r="L27" s="59"/>
      <c r="M27" s="59"/>
      <c r="N27" s="59"/>
      <c r="O27" s="59"/>
      <c r="P27" s="59"/>
      <c r="Q27" s="59"/>
      <c r="R27" s="59"/>
      <c r="S27" s="59"/>
      <c r="T27" s="8" t="s">
        <v>408</v>
      </c>
      <c r="U27" s="9" t="s">
        <v>409</v>
      </c>
      <c r="V27" s="4"/>
      <c r="W27" s="4"/>
      <c r="X27" s="4"/>
      <c r="Y27" s="4"/>
      <c r="Z27" s="4"/>
      <c r="AA27" s="4"/>
      <c r="AB27" s="4"/>
      <c r="AC27" s="4"/>
      <c r="AD27" s="4"/>
    </row>
    <row r="28" spans="1:30">
      <c r="A28" s="56" t="s">
        <v>104</v>
      </c>
      <c r="B28" s="57"/>
      <c r="C28" s="57"/>
      <c r="D28" s="57"/>
      <c r="E28" s="57"/>
      <c r="F28" s="57"/>
      <c r="G28" s="57"/>
      <c r="H28" s="57"/>
      <c r="I28" s="57"/>
      <c r="J28" s="57"/>
      <c r="K28" s="57"/>
      <c r="L28" s="57"/>
      <c r="M28" s="57"/>
      <c r="N28" s="57"/>
      <c r="O28" s="57"/>
      <c r="P28" s="57"/>
      <c r="Q28" s="57"/>
      <c r="R28" s="57"/>
      <c r="S28" s="57"/>
      <c r="T28" s="35" t="s">
        <v>105</v>
      </c>
      <c r="U28" s="37" t="s">
        <v>410</v>
      </c>
      <c r="V28" s="4"/>
      <c r="W28" s="4"/>
      <c r="X28" s="4"/>
      <c r="Y28" s="4"/>
      <c r="Z28" s="4"/>
      <c r="AA28" s="4"/>
      <c r="AB28" s="4"/>
      <c r="AC28" s="4"/>
      <c r="AD28" s="4"/>
    </row>
    <row r="29" spans="1:30" ht="23">
      <c r="A29" s="58" t="s">
        <v>107</v>
      </c>
      <c r="B29" s="61"/>
      <c r="C29" s="61"/>
      <c r="D29" s="61"/>
      <c r="E29" s="61"/>
      <c r="F29" s="61"/>
      <c r="G29" s="61"/>
      <c r="H29" s="61"/>
      <c r="I29" s="61"/>
      <c r="J29" s="61"/>
      <c r="K29" s="61"/>
      <c r="L29" s="61"/>
      <c r="M29" s="61"/>
      <c r="N29" s="61"/>
      <c r="O29" s="61"/>
      <c r="P29" s="61"/>
      <c r="Q29" s="61"/>
      <c r="R29" s="61"/>
      <c r="S29" s="61"/>
      <c r="T29" s="8" t="s">
        <v>105</v>
      </c>
      <c r="U29" s="9" t="s">
        <v>411</v>
      </c>
      <c r="V29" s="4"/>
      <c r="W29" s="4"/>
      <c r="X29" s="4"/>
      <c r="Y29" s="4"/>
      <c r="Z29" s="4"/>
      <c r="AA29" s="4"/>
      <c r="AB29" s="4"/>
      <c r="AC29" s="4"/>
      <c r="AD29" s="4"/>
    </row>
    <row r="30" spans="1:30" ht="23">
      <c r="A30" s="56" t="s">
        <v>412</v>
      </c>
      <c r="B30" s="62"/>
      <c r="C30" s="62"/>
      <c r="D30" s="62"/>
      <c r="E30" s="62"/>
      <c r="F30" s="62"/>
      <c r="G30" s="62"/>
      <c r="H30" s="62"/>
      <c r="I30" s="62"/>
      <c r="J30" s="62"/>
      <c r="K30" s="62"/>
      <c r="L30" s="62"/>
      <c r="M30" s="62"/>
      <c r="N30" s="62"/>
      <c r="O30" s="62"/>
      <c r="P30" s="62"/>
      <c r="Q30" s="62"/>
      <c r="R30" s="62"/>
      <c r="S30" s="62"/>
      <c r="T30" s="35" t="s">
        <v>413</v>
      </c>
      <c r="U30" s="37" t="s">
        <v>414</v>
      </c>
      <c r="V30" s="4"/>
      <c r="W30" s="4"/>
      <c r="X30" s="4"/>
      <c r="Y30" s="4"/>
      <c r="Z30" s="4"/>
      <c r="AA30" s="4"/>
      <c r="AB30" s="4"/>
      <c r="AC30" s="4"/>
      <c r="AD30" s="4"/>
    </row>
    <row r="31" spans="1:30">
      <c r="A31" s="58" t="s">
        <v>415</v>
      </c>
      <c r="B31" s="61"/>
      <c r="C31" s="61"/>
      <c r="D31" s="61"/>
      <c r="E31" s="61"/>
      <c r="F31" s="61"/>
      <c r="G31" s="61"/>
      <c r="H31" s="61"/>
      <c r="I31" s="61"/>
      <c r="J31" s="61"/>
      <c r="K31" s="61"/>
      <c r="L31" s="61"/>
      <c r="M31" s="61"/>
      <c r="N31" s="61"/>
      <c r="O31" s="61"/>
      <c r="P31" s="61"/>
      <c r="Q31" s="61"/>
      <c r="R31" s="61"/>
      <c r="S31" s="61"/>
      <c r="T31" s="8" t="s">
        <v>413</v>
      </c>
      <c r="U31" s="9" t="s">
        <v>416</v>
      </c>
      <c r="V31" s="4"/>
      <c r="W31" s="4"/>
      <c r="X31" s="4"/>
      <c r="Y31" s="4"/>
      <c r="Z31" s="4"/>
      <c r="AA31" s="4"/>
      <c r="AB31" s="4"/>
      <c r="AC31" s="4"/>
      <c r="AD31" s="4"/>
    </row>
    <row r="32" spans="1:30">
      <c r="A32" s="56" t="s">
        <v>260</v>
      </c>
      <c r="B32" s="61"/>
      <c r="C32" s="61"/>
      <c r="D32" s="61"/>
      <c r="E32" s="61"/>
      <c r="F32" s="61"/>
      <c r="G32" s="61"/>
      <c r="H32" s="61"/>
      <c r="I32" s="61"/>
      <c r="J32" s="61"/>
      <c r="K32" s="61"/>
      <c r="L32" s="61"/>
      <c r="M32" s="61"/>
      <c r="N32" s="61"/>
      <c r="O32" s="61"/>
      <c r="P32" s="61"/>
      <c r="Q32" s="61"/>
      <c r="R32" s="61"/>
      <c r="S32" s="61"/>
      <c r="T32" s="35" t="s">
        <v>413</v>
      </c>
      <c r="U32" s="37" t="s">
        <v>417</v>
      </c>
      <c r="V32" s="4"/>
      <c r="W32" s="4"/>
      <c r="X32" s="4"/>
      <c r="Y32" s="4"/>
      <c r="Z32" s="4"/>
      <c r="AA32" s="4"/>
      <c r="AB32" s="4"/>
      <c r="AC32" s="4"/>
      <c r="AD32" s="4"/>
    </row>
    <row r="33" spans="1:30">
      <c r="A33" s="58" t="s">
        <v>271</v>
      </c>
      <c r="B33" s="59"/>
      <c r="C33" s="59"/>
      <c r="D33" s="59"/>
      <c r="E33" s="59"/>
      <c r="F33" s="59"/>
      <c r="G33" s="59"/>
      <c r="H33" s="59"/>
      <c r="I33" s="59"/>
      <c r="J33" s="59"/>
      <c r="K33" s="59"/>
      <c r="L33" s="59"/>
      <c r="M33" s="59"/>
      <c r="N33" s="59"/>
      <c r="O33" s="59"/>
      <c r="P33" s="59"/>
      <c r="Q33" s="59"/>
      <c r="R33" s="59"/>
      <c r="S33" s="59"/>
      <c r="T33" s="8" t="s">
        <v>274</v>
      </c>
      <c r="U33" s="9" t="s">
        <v>418</v>
      </c>
      <c r="V33" s="4"/>
      <c r="W33" s="4"/>
      <c r="X33" s="4"/>
      <c r="Y33" s="4"/>
      <c r="Z33" s="4"/>
      <c r="AA33" s="4"/>
      <c r="AB33" s="4"/>
      <c r="AC33" s="4"/>
      <c r="AD33" s="4"/>
    </row>
    <row r="34" spans="1:30">
      <c r="A34" s="56" t="s">
        <v>284</v>
      </c>
      <c r="B34" s="59"/>
      <c r="C34" s="59"/>
      <c r="D34" s="59"/>
      <c r="E34" s="59"/>
      <c r="F34" s="59"/>
      <c r="G34" s="59"/>
      <c r="H34" s="59"/>
      <c r="I34" s="59"/>
      <c r="J34" s="59"/>
      <c r="K34" s="59"/>
      <c r="L34" s="59"/>
      <c r="M34" s="59"/>
      <c r="N34" s="59"/>
      <c r="O34" s="59"/>
      <c r="P34" s="59"/>
      <c r="Q34" s="59"/>
      <c r="R34" s="59"/>
      <c r="S34" s="59"/>
      <c r="T34" s="35" t="s">
        <v>287</v>
      </c>
      <c r="U34" s="37" t="s">
        <v>419</v>
      </c>
      <c r="V34" s="4"/>
      <c r="W34" s="4"/>
      <c r="X34" s="4"/>
      <c r="Y34" s="4"/>
      <c r="Z34" s="4"/>
      <c r="AA34" s="4"/>
      <c r="AB34" s="4"/>
      <c r="AC34" s="4"/>
      <c r="AD34" s="4"/>
    </row>
    <row r="35" spans="1:30">
      <c r="A35" s="58" t="s">
        <v>296</v>
      </c>
      <c r="B35" s="61"/>
      <c r="C35" s="61"/>
      <c r="D35" s="61"/>
      <c r="E35" s="61"/>
      <c r="F35" s="61"/>
      <c r="G35" s="61"/>
      <c r="H35" s="61"/>
      <c r="I35" s="61"/>
      <c r="J35" s="61"/>
      <c r="K35" s="61"/>
      <c r="L35" s="61"/>
      <c r="M35" s="61"/>
      <c r="N35" s="61"/>
      <c r="O35" s="61"/>
      <c r="P35" s="61"/>
      <c r="Q35" s="61"/>
      <c r="R35" s="61"/>
      <c r="S35" s="61"/>
      <c r="T35" s="8" t="s">
        <v>413</v>
      </c>
      <c r="U35" s="9" t="s">
        <v>420</v>
      </c>
      <c r="V35" s="4"/>
      <c r="W35" s="4"/>
      <c r="X35" s="4"/>
      <c r="Y35" s="4"/>
      <c r="Z35" s="4"/>
      <c r="AA35" s="4"/>
      <c r="AB35" s="4"/>
      <c r="AC35" s="4"/>
      <c r="AD35" s="4"/>
    </row>
    <row r="36" spans="1:30">
      <c r="A36" s="56" t="s">
        <v>305</v>
      </c>
      <c r="B36" s="61"/>
      <c r="C36" s="61"/>
      <c r="D36" s="61"/>
      <c r="E36" s="61"/>
      <c r="F36" s="61"/>
      <c r="G36" s="61"/>
      <c r="H36" s="61"/>
      <c r="I36" s="61"/>
      <c r="J36" s="61"/>
      <c r="K36" s="61"/>
      <c r="L36" s="61"/>
      <c r="M36" s="61"/>
      <c r="N36" s="61"/>
      <c r="O36" s="61"/>
      <c r="P36" s="61"/>
      <c r="Q36" s="61"/>
      <c r="R36" s="61"/>
      <c r="S36" s="61"/>
      <c r="T36" s="35" t="s">
        <v>413</v>
      </c>
      <c r="U36" s="37" t="s">
        <v>421</v>
      </c>
      <c r="V36" s="4"/>
      <c r="W36" s="4"/>
      <c r="X36" s="4"/>
      <c r="Y36" s="4"/>
      <c r="Z36" s="4"/>
      <c r="AA36" s="4"/>
      <c r="AB36" s="4"/>
      <c r="AC36" s="4"/>
      <c r="AD36" s="4"/>
    </row>
    <row r="37" spans="1:30" ht="23">
      <c r="A37" s="58" t="s">
        <v>109</v>
      </c>
      <c r="B37" s="63"/>
      <c r="C37" s="63"/>
      <c r="D37" s="63"/>
      <c r="E37" s="63"/>
      <c r="F37" s="63"/>
      <c r="G37" s="63"/>
      <c r="H37" s="63"/>
      <c r="I37" s="63"/>
      <c r="J37" s="63"/>
      <c r="K37" s="63"/>
      <c r="L37" s="63"/>
      <c r="M37" s="63"/>
      <c r="N37" s="63"/>
      <c r="O37" s="63"/>
      <c r="P37" s="63"/>
      <c r="Q37" s="63"/>
      <c r="R37" s="63"/>
      <c r="S37" s="63"/>
      <c r="T37" s="8" t="s">
        <v>110</v>
      </c>
      <c r="U37" s="9" t="s">
        <v>422</v>
      </c>
      <c r="V37" s="4"/>
      <c r="W37" s="4"/>
      <c r="X37" s="4"/>
      <c r="Y37" s="4"/>
      <c r="Z37" s="4"/>
      <c r="AA37" s="4"/>
      <c r="AB37" s="4"/>
      <c r="AC37" s="4"/>
      <c r="AD37" s="4"/>
    </row>
    <row r="38" spans="1:30">
      <c r="A38" s="56" t="s">
        <v>112</v>
      </c>
      <c r="B38" s="63"/>
      <c r="C38" s="63"/>
      <c r="D38" s="63"/>
      <c r="E38" s="63"/>
      <c r="F38" s="63"/>
      <c r="G38" s="63"/>
      <c r="H38" s="63"/>
      <c r="I38" s="63"/>
      <c r="J38" s="63"/>
      <c r="K38" s="63"/>
      <c r="L38" s="63"/>
      <c r="M38" s="63"/>
      <c r="N38" s="63"/>
      <c r="O38" s="63"/>
      <c r="P38" s="63"/>
      <c r="Q38" s="63"/>
      <c r="R38" s="63"/>
      <c r="S38" s="63"/>
      <c r="T38" s="35" t="s">
        <v>110</v>
      </c>
      <c r="U38" s="37" t="s">
        <v>423</v>
      </c>
      <c r="V38" s="4"/>
      <c r="W38" s="4"/>
      <c r="X38" s="4"/>
      <c r="Y38" s="4"/>
      <c r="Z38" s="4"/>
      <c r="AA38" s="4"/>
      <c r="AB38" s="4"/>
      <c r="AC38" s="4"/>
      <c r="AD38" s="4"/>
    </row>
    <row r="39" spans="1:30">
      <c r="A39" s="58" t="s">
        <v>424</v>
      </c>
      <c r="B39" s="63"/>
      <c r="C39" s="63"/>
      <c r="D39" s="63"/>
      <c r="E39" s="63"/>
      <c r="F39" s="63"/>
      <c r="G39" s="63"/>
      <c r="H39" s="63"/>
      <c r="I39" s="63"/>
      <c r="J39" s="63"/>
      <c r="K39" s="63"/>
      <c r="L39" s="63"/>
      <c r="M39" s="63"/>
      <c r="N39" s="63"/>
      <c r="O39" s="63"/>
      <c r="P39" s="63"/>
      <c r="Q39" s="63"/>
      <c r="R39" s="63"/>
      <c r="S39" s="63"/>
      <c r="T39" s="8" t="s">
        <v>110</v>
      </c>
      <c r="U39" s="9" t="s">
        <v>425</v>
      </c>
      <c r="V39" s="4"/>
      <c r="W39" s="4"/>
      <c r="X39" s="4"/>
      <c r="Y39" s="4"/>
      <c r="Z39" s="4"/>
      <c r="AA39" s="4"/>
      <c r="AB39" s="4"/>
      <c r="AC39" s="4"/>
      <c r="AD39" s="4"/>
    </row>
    <row r="40" spans="1:30">
      <c r="A40" s="56" t="s">
        <v>426</v>
      </c>
      <c r="B40" s="61"/>
      <c r="C40" s="61"/>
      <c r="D40" s="61"/>
      <c r="E40" s="61"/>
      <c r="F40" s="61"/>
      <c r="G40" s="61"/>
      <c r="H40" s="61"/>
      <c r="I40" s="61"/>
      <c r="J40" s="61"/>
      <c r="K40" s="61"/>
      <c r="L40" s="61"/>
      <c r="M40" s="61"/>
      <c r="N40" s="61"/>
      <c r="O40" s="61"/>
      <c r="P40" s="61"/>
      <c r="Q40" s="61"/>
      <c r="R40" s="61"/>
      <c r="S40" s="61"/>
      <c r="T40" s="35" t="s">
        <v>413</v>
      </c>
      <c r="U40" s="37" t="s">
        <v>427</v>
      </c>
      <c r="V40" s="4"/>
      <c r="W40" s="4"/>
      <c r="X40" s="4"/>
      <c r="Y40" s="4"/>
      <c r="Z40" s="4"/>
      <c r="AA40" s="4"/>
      <c r="AB40" s="4"/>
      <c r="AC40" s="4"/>
      <c r="AD40" s="4"/>
    </row>
    <row r="41" spans="1:30">
      <c r="A41" s="64" t="s">
        <v>428</v>
      </c>
      <c r="B41" s="65"/>
      <c r="C41" s="65"/>
      <c r="D41" s="65"/>
      <c r="E41" s="65"/>
      <c r="F41" s="65"/>
      <c r="G41" s="65"/>
      <c r="H41" s="65"/>
      <c r="I41" s="65"/>
      <c r="J41" s="65"/>
      <c r="K41" s="65"/>
      <c r="L41" s="65"/>
      <c r="M41" s="65"/>
      <c r="N41" s="65"/>
      <c r="O41" s="65"/>
      <c r="P41" s="65"/>
      <c r="Q41" s="65"/>
      <c r="R41" s="65"/>
      <c r="S41" s="65"/>
      <c r="T41" s="10" t="s">
        <v>429</v>
      </c>
      <c r="U41" s="11" t="s">
        <v>430</v>
      </c>
      <c r="V41" s="4"/>
      <c r="W41" s="4"/>
      <c r="X41" s="4"/>
      <c r="Y41" s="4"/>
      <c r="Z41" s="4"/>
      <c r="AA41" s="4"/>
      <c r="AB41" s="4"/>
      <c r="AC41" s="4"/>
      <c r="AD41" s="4"/>
    </row>
    <row r="42" spans="1:30">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row>
    <row r="43" spans="1:30" ht="16" customHeight="1">
      <c r="A43" s="162" t="s">
        <v>431</v>
      </c>
      <c r="B43" s="162"/>
      <c r="C43" s="162"/>
      <c r="D43" s="162"/>
      <c r="E43" s="162"/>
      <c r="F43" s="162"/>
      <c r="G43" s="162"/>
      <c r="H43" s="162"/>
      <c r="I43" s="162"/>
      <c r="J43" s="162"/>
      <c r="K43" s="162"/>
      <c r="L43" s="162"/>
      <c r="M43" s="162"/>
      <c r="N43" s="162"/>
      <c r="O43" s="162"/>
      <c r="P43" s="162"/>
      <c r="Q43" s="162"/>
      <c r="R43" s="162"/>
      <c r="S43" s="162"/>
      <c r="T43" s="162"/>
      <c r="U43" s="162"/>
      <c r="V43" s="4"/>
      <c r="W43" s="4"/>
      <c r="X43" s="4"/>
      <c r="Y43" s="4"/>
      <c r="Z43" s="4"/>
      <c r="AA43" s="4"/>
      <c r="AB43" s="4"/>
      <c r="AC43" s="4"/>
      <c r="AD43" s="4"/>
    </row>
    <row r="44" spans="1:30">
      <c r="A44" s="54" t="s">
        <v>432</v>
      </c>
      <c r="B44" s="66" t="str">
        <f t="shared" ref="B44:S44" si="0">IF(B15="","",B15*$N$8*B16*$O$8/1000000)</f>
        <v/>
      </c>
      <c r="C44" s="66" t="str">
        <f t="shared" si="0"/>
        <v/>
      </c>
      <c r="D44" s="66" t="str">
        <f t="shared" si="0"/>
        <v/>
      </c>
      <c r="E44" s="66" t="str">
        <f t="shared" si="0"/>
        <v/>
      </c>
      <c r="F44" s="66" t="str">
        <f t="shared" si="0"/>
        <v/>
      </c>
      <c r="G44" s="66" t="str">
        <f t="shared" si="0"/>
        <v/>
      </c>
      <c r="H44" s="66" t="str">
        <f t="shared" si="0"/>
        <v/>
      </c>
      <c r="I44" s="66" t="str">
        <f t="shared" si="0"/>
        <v/>
      </c>
      <c r="J44" s="66" t="str">
        <f t="shared" si="0"/>
        <v/>
      </c>
      <c r="K44" s="66" t="str">
        <f t="shared" si="0"/>
        <v/>
      </c>
      <c r="L44" s="66" t="str">
        <f t="shared" si="0"/>
        <v/>
      </c>
      <c r="M44" s="66" t="str">
        <f t="shared" si="0"/>
        <v/>
      </c>
      <c r="N44" s="66" t="str">
        <f t="shared" si="0"/>
        <v/>
      </c>
      <c r="O44" s="66" t="str">
        <f t="shared" si="0"/>
        <v/>
      </c>
      <c r="P44" s="66" t="str">
        <f t="shared" si="0"/>
        <v/>
      </c>
      <c r="Q44" s="66" t="str">
        <f t="shared" si="0"/>
        <v/>
      </c>
      <c r="R44" s="66" t="str">
        <f t="shared" si="0"/>
        <v/>
      </c>
      <c r="S44" s="66" t="str">
        <f t="shared" si="0"/>
        <v/>
      </c>
      <c r="T44" s="6" t="s">
        <v>408</v>
      </c>
      <c r="U44" s="7"/>
      <c r="V44" s="4"/>
      <c r="W44" s="4"/>
      <c r="X44" s="4"/>
      <c r="Y44" s="4"/>
      <c r="Z44" s="4"/>
      <c r="AA44" s="4"/>
      <c r="AB44" s="4"/>
      <c r="AC44" s="4"/>
      <c r="AD44" s="4"/>
    </row>
    <row r="45" spans="1:30">
      <c r="A45" s="56" t="s">
        <v>433</v>
      </c>
      <c r="B45" s="67" t="str">
        <f t="shared" ref="B45:S45" si="1">IF(B17="","",B17*$N$8*B18*$O$8/1000000)</f>
        <v/>
      </c>
      <c r="C45" s="67" t="str">
        <f t="shared" si="1"/>
        <v/>
      </c>
      <c r="D45" s="67" t="str">
        <f t="shared" si="1"/>
        <v/>
      </c>
      <c r="E45" s="67" t="str">
        <f t="shared" si="1"/>
        <v/>
      </c>
      <c r="F45" s="67" t="str">
        <f t="shared" si="1"/>
        <v/>
      </c>
      <c r="G45" s="67" t="str">
        <f t="shared" si="1"/>
        <v/>
      </c>
      <c r="H45" s="67" t="str">
        <f t="shared" si="1"/>
        <v/>
      </c>
      <c r="I45" s="67" t="str">
        <f t="shared" si="1"/>
        <v/>
      </c>
      <c r="J45" s="67" t="str">
        <f t="shared" si="1"/>
        <v/>
      </c>
      <c r="K45" s="67" t="str">
        <f t="shared" si="1"/>
        <v/>
      </c>
      <c r="L45" s="67" t="str">
        <f t="shared" si="1"/>
        <v/>
      </c>
      <c r="M45" s="67" t="str">
        <f t="shared" si="1"/>
        <v/>
      </c>
      <c r="N45" s="67" t="str">
        <f t="shared" si="1"/>
        <v/>
      </c>
      <c r="O45" s="67" t="str">
        <f t="shared" si="1"/>
        <v/>
      </c>
      <c r="P45" s="67" t="str">
        <f t="shared" si="1"/>
        <v/>
      </c>
      <c r="Q45" s="67" t="str">
        <f t="shared" si="1"/>
        <v/>
      </c>
      <c r="R45" s="67" t="str">
        <f t="shared" si="1"/>
        <v/>
      </c>
      <c r="S45" s="67" t="str">
        <f t="shared" si="1"/>
        <v/>
      </c>
      <c r="T45" s="35" t="s">
        <v>408</v>
      </c>
      <c r="U45" s="37"/>
      <c r="V45" s="4"/>
      <c r="W45" s="4"/>
      <c r="X45" s="4"/>
      <c r="Y45" s="4"/>
      <c r="Z45" s="4"/>
      <c r="AA45" s="4"/>
      <c r="AB45" s="4"/>
      <c r="AC45" s="4"/>
      <c r="AD45" s="4"/>
    </row>
    <row r="46" spans="1:30">
      <c r="A46" s="58" t="s">
        <v>434</v>
      </c>
      <c r="B46" s="68" t="str">
        <f t="shared" ref="B46:S46" si="2">IF(B19="","",B19*$N$8*B20/1000000)</f>
        <v/>
      </c>
      <c r="C46" s="68" t="str">
        <f t="shared" si="2"/>
        <v/>
      </c>
      <c r="D46" s="68" t="str">
        <f t="shared" si="2"/>
        <v/>
      </c>
      <c r="E46" s="68" t="str">
        <f t="shared" si="2"/>
        <v/>
      </c>
      <c r="F46" s="68" t="str">
        <f t="shared" si="2"/>
        <v/>
      </c>
      <c r="G46" s="68" t="str">
        <f t="shared" si="2"/>
        <v/>
      </c>
      <c r="H46" s="68" t="str">
        <f t="shared" si="2"/>
        <v/>
      </c>
      <c r="I46" s="68" t="str">
        <f t="shared" si="2"/>
        <v/>
      </c>
      <c r="J46" s="68" t="str">
        <f t="shared" si="2"/>
        <v/>
      </c>
      <c r="K46" s="68" t="str">
        <f t="shared" si="2"/>
        <v/>
      </c>
      <c r="L46" s="68" t="str">
        <f t="shared" si="2"/>
        <v/>
      </c>
      <c r="M46" s="68" t="str">
        <f t="shared" si="2"/>
        <v/>
      </c>
      <c r="N46" s="68" t="str">
        <f t="shared" si="2"/>
        <v/>
      </c>
      <c r="O46" s="68" t="str">
        <f t="shared" si="2"/>
        <v/>
      </c>
      <c r="P46" s="68" t="str">
        <f t="shared" si="2"/>
        <v/>
      </c>
      <c r="Q46" s="68" t="str">
        <f t="shared" si="2"/>
        <v/>
      </c>
      <c r="R46" s="68" t="str">
        <f t="shared" si="2"/>
        <v/>
      </c>
      <c r="S46" s="68" t="str">
        <f t="shared" si="2"/>
        <v/>
      </c>
      <c r="T46" s="8" t="s">
        <v>408</v>
      </c>
      <c r="U46" s="9"/>
      <c r="V46" s="4"/>
      <c r="W46" s="4"/>
      <c r="X46" s="4"/>
      <c r="Y46" s="4"/>
      <c r="Z46" s="4"/>
      <c r="AA46" s="4"/>
      <c r="AB46" s="4"/>
      <c r="AC46" s="4"/>
      <c r="AD46" s="4"/>
    </row>
    <row r="47" spans="1:30">
      <c r="A47" s="56" t="s">
        <v>435</v>
      </c>
      <c r="B47" s="67" t="str">
        <f t="shared" ref="B47:S47" si="3">IF(B21="","",B21*(1+($N$8-1)*0.5)*B22/1000000)</f>
        <v/>
      </c>
      <c r="C47" s="67" t="str">
        <f t="shared" si="3"/>
        <v/>
      </c>
      <c r="D47" s="67" t="str">
        <f t="shared" si="3"/>
        <v/>
      </c>
      <c r="E47" s="67" t="str">
        <f t="shared" si="3"/>
        <v/>
      </c>
      <c r="F47" s="67" t="str">
        <f t="shared" si="3"/>
        <v/>
      </c>
      <c r="G47" s="67" t="str">
        <f t="shared" si="3"/>
        <v/>
      </c>
      <c r="H47" s="67" t="str">
        <f t="shared" si="3"/>
        <v/>
      </c>
      <c r="I47" s="67" t="str">
        <f t="shared" si="3"/>
        <v/>
      </c>
      <c r="J47" s="67" t="str">
        <f t="shared" si="3"/>
        <v/>
      </c>
      <c r="K47" s="67" t="str">
        <f t="shared" si="3"/>
        <v/>
      </c>
      <c r="L47" s="67" t="str">
        <f t="shared" si="3"/>
        <v/>
      </c>
      <c r="M47" s="67" t="str">
        <f t="shared" si="3"/>
        <v/>
      </c>
      <c r="N47" s="67" t="str">
        <f t="shared" si="3"/>
        <v/>
      </c>
      <c r="O47" s="67" t="str">
        <f t="shared" si="3"/>
        <v/>
      </c>
      <c r="P47" s="67" t="str">
        <f t="shared" si="3"/>
        <v/>
      </c>
      <c r="Q47" s="67" t="str">
        <f t="shared" si="3"/>
        <v/>
      </c>
      <c r="R47" s="67" t="str">
        <f t="shared" si="3"/>
        <v/>
      </c>
      <c r="S47" s="67" t="str">
        <f t="shared" si="3"/>
        <v/>
      </c>
      <c r="T47" s="35" t="s">
        <v>408</v>
      </c>
      <c r="U47" s="37"/>
      <c r="V47" s="4"/>
      <c r="W47" s="4"/>
      <c r="X47" s="4"/>
      <c r="Y47" s="4"/>
      <c r="Z47" s="4"/>
      <c r="AA47" s="4"/>
      <c r="AB47" s="4"/>
      <c r="AC47" s="4"/>
      <c r="AD47" s="4"/>
    </row>
    <row r="48" spans="1:30">
      <c r="A48" s="58" t="s">
        <v>436</v>
      </c>
      <c r="B48" s="68" t="str">
        <f t="shared" ref="B48:S48" si="4">IF(B23="","",B23*B24*B25*B26/1000000)</f>
        <v/>
      </c>
      <c r="C48" s="68" t="str">
        <f t="shared" si="4"/>
        <v/>
      </c>
      <c r="D48" s="68" t="str">
        <f t="shared" si="4"/>
        <v/>
      </c>
      <c r="E48" s="68" t="str">
        <f t="shared" si="4"/>
        <v/>
      </c>
      <c r="F48" s="68" t="str">
        <f t="shared" si="4"/>
        <v/>
      </c>
      <c r="G48" s="68" t="str">
        <f t="shared" si="4"/>
        <v/>
      </c>
      <c r="H48" s="68" t="str">
        <f t="shared" si="4"/>
        <v/>
      </c>
      <c r="I48" s="68" t="str">
        <f t="shared" si="4"/>
        <v/>
      </c>
      <c r="J48" s="68" t="str">
        <f t="shared" si="4"/>
        <v/>
      </c>
      <c r="K48" s="68" t="str">
        <f t="shared" si="4"/>
        <v/>
      </c>
      <c r="L48" s="68" t="str">
        <f t="shared" si="4"/>
        <v/>
      </c>
      <c r="M48" s="68" t="str">
        <f t="shared" si="4"/>
        <v/>
      </c>
      <c r="N48" s="68" t="str">
        <f t="shared" si="4"/>
        <v/>
      </c>
      <c r="O48" s="68" t="str">
        <f t="shared" si="4"/>
        <v/>
      </c>
      <c r="P48" s="68" t="str">
        <f t="shared" si="4"/>
        <v/>
      </c>
      <c r="Q48" s="68" t="str">
        <f t="shared" si="4"/>
        <v/>
      </c>
      <c r="R48" s="68" t="str">
        <f t="shared" si="4"/>
        <v/>
      </c>
      <c r="S48" s="68" t="str">
        <f t="shared" si="4"/>
        <v/>
      </c>
      <c r="T48" s="8" t="s">
        <v>408</v>
      </c>
      <c r="U48" s="9"/>
      <c r="V48" s="4"/>
      <c r="W48" s="4"/>
      <c r="X48" s="4"/>
      <c r="Y48" s="4"/>
      <c r="Z48" s="4"/>
      <c r="AA48" s="4"/>
      <c r="AB48" s="4"/>
      <c r="AC48" s="4"/>
      <c r="AD48" s="4"/>
    </row>
    <row r="49" spans="1:30">
      <c r="A49" s="56" t="s">
        <v>437</v>
      </c>
      <c r="B49" s="67" t="str">
        <f t="shared" ref="B49:S49" si="5">IF(B48="","",B48+B27)</f>
        <v/>
      </c>
      <c r="C49" s="67" t="str">
        <f t="shared" si="5"/>
        <v/>
      </c>
      <c r="D49" s="67" t="str">
        <f t="shared" si="5"/>
        <v/>
      </c>
      <c r="E49" s="67" t="str">
        <f t="shared" si="5"/>
        <v/>
      </c>
      <c r="F49" s="67" t="str">
        <f t="shared" si="5"/>
        <v/>
      </c>
      <c r="G49" s="67" t="str">
        <f t="shared" si="5"/>
        <v/>
      </c>
      <c r="H49" s="67" t="str">
        <f t="shared" si="5"/>
        <v/>
      </c>
      <c r="I49" s="67" t="str">
        <f t="shared" si="5"/>
        <v/>
      </c>
      <c r="J49" s="67" t="str">
        <f t="shared" si="5"/>
        <v/>
      </c>
      <c r="K49" s="67" t="str">
        <f t="shared" si="5"/>
        <v/>
      </c>
      <c r="L49" s="67" t="str">
        <f t="shared" si="5"/>
        <v/>
      </c>
      <c r="M49" s="67" t="str">
        <f t="shared" si="5"/>
        <v/>
      </c>
      <c r="N49" s="67" t="str">
        <f t="shared" si="5"/>
        <v/>
      </c>
      <c r="O49" s="67" t="str">
        <f t="shared" si="5"/>
        <v/>
      </c>
      <c r="P49" s="67" t="str">
        <f t="shared" si="5"/>
        <v/>
      </c>
      <c r="Q49" s="67" t="str">
        <f t="shared" si="5"/>
        <v/>
      </c>
      <c r="R49" s="67" t="str">
        <f t="shared" si="5"/>
        <v/>
      </c>
      <c r="S49" s="67" t="str">
        <f t="shared" si="5"/>
        <v/>
      </c>
      <c r="T49" s="35" t="s">
        <v>408</v>
      </c>
      <c r="U49" s="37"/>
      <c r="V49" s="4"/>
      <c r="W49" s="4"/>
      <c r="X49" s="4"/>
      <c r="Y49" s="4"/>
      <c r="Z49" s="4"/>
      <c r="AA49" s="4"/>
      <c r="AB49" s="4"/>
      <c r="AC49" s="4"/>
      <c r="AD49" s="4"/>
    </row>
    <row r="50" spans="1:30">
      <c r="A50" s="58" t="s">
        <v>438</v>
      </c>
      <c r="B50" s="68" t="str">
        <f t="shared" ref="B50:S50" si="6">IF(COUNT(B44:B49)&lt;6,"",SUM(B44:B47)+B49)</f>
        <v/>
      </c>
      <c r="C50" s="68" t="str">
        <f t="shared" si="6"/>
        <v/>
      </c>
      <c r="D50" s="68" t="str">
        <f t="shared" si="6"/>
        <v/>
      </c>
      <c r="E50" s="68" t="str">
        <f t="shared" si="6"/>
        <v/>
      </c>
      <c r="F50" s="68" t="str">
        <f t="shared" si="6"/>
        <v/>
      </c>
      <c r="G50" s="68" t="str">
        <f t="shared" si="6"/>
        <v/>
      </c>
      <c r="H50" s="68" t="str">
        <f t="shared" si="6"/>
        <v/>
      </c>
      <c r="I50" s="68" t="str">
        <f t="shared" si="6"/>
        <v/>
      </c>
      <c r="J50" s="68" t="str">
        <f t="shared" si="6"/>
        <v/>
      </c>
      <c r="K50" s="68" t="str">
        <f t="shared" si="6"/>
        <v/>
      </c>
      <c r="L50" s="68" t="str">
        <f t="shared" si="6"/>
        <v/>
      </c>
      <c r="M50" s="68" t="str">
        <f t="shared" si="6"/>
        <v/>
      </c>
      <c r="N50" s="68" t="str">
        <f t="shared" si="6"/>
        <v/>
      </c>
      <c r="O50" s="68" t="str">
        <f t="shared" si="6"/>
        <v/>
      </c>
      <c r="P50" s="68" t="str">
        <f t="shared" si="6"/>
        <v/>
      </c>
      <c r="Q50" s="68" t="str">
        <f t="shared" si="6"/>
        <v/>
      </c>
      <c r="R50" s="68" t="str">
        <f t="shared" si="6"/>
        <v/>
      </c>
      <c r="S50" s="68" t="str">
        <f t="shared" si="6"/>
        <v/>
      </c>
      <c r="T50" s="8" t="s">
        <v>408</v>
      </c>
      <c r="U50" s="9"/>
      <c r="V50" s="4"/>
      <c r="W50" s="4"/>
      <c r="X50" s="4"/>
      <c r="Y50" s="4"/>
      <c r="Z50" s="4"/>
      <c r="AA50" s="4"/>
      <c r="AB50" s="4"/>
      <c r="AC50" s="4"/>
      <c r="AD50" s="4"/>
    </row>
    <row r="51" spans="1:30">
      <c r="A51" s="56" t="s">
        <v>439</v>
      </c>
      <c r="B51" s="69" t="str">
        <f t="shared" ref="B51:S51" si="7">IF(B50="","",B30*(B28*$P$8/100)/(B29*$Q$8/100))</f>
        <v/>
      </c>
      <c r="C51" s="69" t="str">
        <f t="shared" si="7"/>
        <v/>
      </c>
      <c r="D51" s="69" t="str">
        <f t="shared" si="7"/>
        <v/>
      </c>
      <c r="E51" s="69" t="str">
        <f t="shared" si="7"/>
        <v/>
      </c>
      <c r="F51" s="69" t="str">
        <f t="shared" si="7"/>
        <v/>
      </c>
      <c r="G51" s="69" t="str">
        <f t="shared" si="7"/>
        <v/>
      </c>
      <c r="H51" s="69" t="str">
        <f t="shared" si="7"/>
        <v/>
      </c>
      <c r="I51" s="69" t="str">
        <f t="shared" si="7"/>
        <v/>
      </c>
      <c r="J51" s="69" t="str">
        <f t="shared" si="7"/>
        <v/>
      </c>
      <c r="K51" s="69" t="str">
        <f t="shared" si="7"/>
        <v/>
      </c>
      <c r="L51" s="69" t="str">
        <f t="shared" si="7"/>
        <v/>
      </c>
      <c r="M51" s="69" t="str">
        <f t="shared" si="7"/>
        <v/>
      </c>
      <c r="N51" s="69" t="str">
        <f t="shared" si="7"/>
        <v/>
      </c>
      <c r="O51" s="69" t="str">
        <f t="shared" si="7"/>
        <v/>
      </c>
      <c r="P51" s="69" t="str">
        <f t="shared" si="7"/>
        <v/>
      </c>
      <c r="Q51" s="69" t="str">
        <f t="shared" si="7"/>
        <v/>
      </c>
      <c r="R51" s="69" t="str">
        <f t="shared" si="7"/>
        <v/>
      </c>
      <c r="S51" s="69" t="str">
        <f t="shared" si="7"/>
        <v/>
      </c>
      <c r="T51" s="35" t="s">
        <v>413</v>
      </c>
      <c r="U51" s="37"/>
      <c r="V51" s="4"/>
      <c r="W51" s="4"/>
      <c r="X51" s="4"/>
      <c r="Y51" s="4"/>
      <c r="Z51" s="4"/>
      <c r="AA51" s="4"/>
      <c r="AB51" s="4"/>
      <c r="AC51" s="4"/>
      <c r="AD51" s="4"/>
    </row>
    <row r="52" spans="1:30">
      <c r="A52" s="58" t="s">
        <v>440</v>
      </c>
      <c r="B52" s="68" t="str">
        <f t="shared" ref="B52:S52" si="8">IF(B50="","",B50*B51)</f>
        <v/>
      </c>
      <c r="C52" s="68" t="str">
        <f t="shared" si="8"/>
        <v/>
      </c>
      <c r="D52" s="68" t="str">
        <f t="shared" si="8"/>
        <v/>
      </c>
      <c r="E52" s="68" t="str">
        <f t="shared" si="8"/>
        <v/>
      </c>
      <c r="F52" s="68" t="str">
        <f t="shared" si="8"/>
        <v/>
      </c>
      <c r="G52" s="68" t="str">
        <f t="shared" si="8"/>
        <v/>
      </c>
      <c r="H52" s="68" t="str">
        <f t="shared" si="8"/>
        <v/>
      </c>
      <c r="I52" s="68" t="str">
        <f t="shared" si="8"/>
        <v/>
      </c>
      <c r="J52" s="68" t="str">
        <f t="shared" si="8"/>
        <v/>
      </c>
      <c r="K52" s="68" t="str">
        <f t="shared" si="8"/>
        <v/>
      </c>
      <c r="L52" s="68" t="str">
        <f t="shared" si="8"/>
        <v/>
      </c>
      <c r="M52" s="68" t="str">
        <f t="shared" si="8"/>
        <v/>
      </c>
      <c r="N52" s="68" t="str">
        <f t="shared" si="8"/>
        <v/>
      </c>
      <c r="O52" s="68" t="str">
        <f t="shared" si="8"/>
        <v/>
      </c>
      <c r="P52" s="68" t="str">
        <f t="shared" si="8"/>
        <v/>
      </c>
      <c r="Q52" s="68" t="str">
        <f t="shared" si="8"/>
        <v/>
      </c>
      <c r="R52" s="68" t="str">
        <f t="shared" si="8"/>
        <v/>
      </c>
      <c r="S52" s="68" t="str">
        <f t="shared" si="8"/>
        <v/>
      </c>
      <c r="T52" s="8" t="s">
        <v>408</v>
      </c>
      <c r="U52" s="9"/>
      <c r="V52" s="4"/>
      <c r="W52" s="4"/>
      <c r="X52" s="4"/>
      <c r="Y52" s="4"/>
      <c r="Z52" s="4"/>
      <c r="AA52" s="4"/>
      <c r="AB52" s="4"/>
      <c r="AC52" s="4"/>
      <c r="AD52" s="4"/>
    </row>
    <row r="53" spans="1:30">
      <c r="A53" s="56" t="s">
        <v>441</v>
      </c>
      <c r="B53" s="67" t="str">
        <f t="shared" ref="B53:S53" si="9">IF(B50="","",B50*B31/(B29*$Q$8/100))</f>
        <v/>
      </c>
      <c r="C53" s="67" t="str">
        <f t="shared" si="9"/>
        <v/>
      </c>
      <c r="D53" s="67" t="str">
        <f t="shared" si="9"/>
        <v/>
      </c>
      <c r="E53" s="67" t="str">
        <f t="shared" si="9"/>
        <v/>
      </c>
      <c r="F53" s="67" t="str">
        <f t="shared" si="9"/>
        <v/>
      </c>
      <c r="G53" s="67" t="str">
        <f t="shared" si="9"/>
        <v/>
      </c>
      <c r="H53" s="67" t="str">
        <f t="shared" si="9"/>
        <v/>
      </c>
      <c r="I53" s="67" t="str">
        <f t="shared" si="9"/>
        <v/>
      </c>
      <c r="J53" s="67" t="str">
        <f t="shared" si="9"/>
        <v/>
      </c>
      <c r="K53" s="67" t="str">
        <f t="shared" si="9"/>
        <v/>
      </c>
      <c r="L53" s="67" t="str">
        <f t="shared" si="9"/>
        <v/>
      </c>
      <c r="M53" s="67" t="str">
        <f t="shared" si="9"/>
        <v/>
      </c>
      <c r="N53" s="67" t="str">
        <f t="shared" si="9"/>
        <v/>
      </c>
      <c r="O53" s="67" t="str">
        <f t="shared" si="9"/>
        <v/>
      </c>
      <c r="P53" s="67" t="str">
        <f t="shared" si="9"/>
        <v/>
      </c>
      <c r="Q53" s="67" t="str">
        <f t="shared" si="9"/>
        <v/>
      </c>
      <c r="R53" s="67" t="str">
        <f t="shared" si="9"/>
        <v/>
      </c>
      <c r="S53" s="67" t="str">
        <f t="shared" si="9"/>
        <v/>
      </c>
      <c r="T53" s="35" t="s">
        <v>408</v>
      </c>
      <c r="U53" s="37"/>
      <c r="V53" s="4"/>
      <c r="W53" s="4"/>
      <c r="X53" s="4"/>
      <c r="Y53" s="4"/>
      <c r="Z53" s="4"/>
      <c r="AA53" s="4"/>
      <c r="AB53" s="4"/>
      <c r="AC53" s="4"/>
      <c r="AD53" s="4"/>
    </row>
    <row r="54" spans="1:30">
      <c r="A54" s="58" t="s">
        <v>442</v>
      </c>
      <c r="B54" s="68" t="str">
        <f t="shared" ref="B54:S54" si="10">IF(B50="","",B50*B32)</f>
        <v/>
      </c>
      <c r="C54" s="68" t="str">
        <f t="shared" si="10"/>
        <v/>
      </c>
      <c r="D54" s="68" t="str">
        <f t="shared" si="10"/>
        <v/>
      </c>
      <c r="E54" s="68" t="str">
        <f t="shared" si="10"/>
        <v/>
      </c>
      <c r="F54" s="68" t="str">
        <f t="shared" si="10"/>
        <v/>
      </c>
      <c r="G54" s="68" t="str">
        <f t="shared" si="10"/>
        <v/>
      </c>
      <c r="H54" s="68" t="str">
        <f t="shared" si="10"/>
        <v/>
      </c>
      <c r="I54" s="68" t="str">
        <f t="shared" si="10"/>
        <v/>
      </c>
      <c r="J54" s="68" t="str">
        <f t="shared" si="10"/>
        <v/>
      </c>
      <c r="K54" s="68" t="str">
        <f t="shared" si="10"/>
        <v/>
      </c>
      <c r="L54" s="68" t="str">
        <f t="shared" si="10"/>
        <v/>
      </c>
      <c r="M54" s="68" t="str">
        <f t="shared" si="10"/>
        <v/>
      </c>
      <c r="N54" s="68" t="str">
        <f t="shared" si="10"/>
        <v/>
      </c>
      <c r="O54" s="68" t="str">
        <f t="shared" si="10"/>
        <v/>
      </c>
      <c r="P54" s="68" t="str">
        <f t="shared" si="10"/>
        <v/>
      </c>
      <c r="Q54" s="68" t="str">
        <f t="shared" si="10"/>
        <v/>
      </c>
      <c r="R54" s="68" t="str">
        <f t="shared" si="10"/>
        <v/>
      </c>
      <c r="S54" s="68" t="str">
        <f t="shared" si="10"/>
        <v/>
      </c>
      <c r="T54" s="8" t="s">
        <v>408</v>
      </c>
      <c r="U54" s="9"/>
      <c r="V54" s="4"/>
      <c r="W54" s="4"/>
      <c r="X54" s="4"/>
      <c r="Y54" s="4"/>
      <c r="Z54" s="4"/>
      <c r="AA54" s="4"/>
      <c r="AB54" s="4"/>
      <c r="AC54" s="4"/>
      <c r="AD54" s="4"/>
    </row>
    <row r="55" spans="1:30">
      <c r="A55" s="56" t="s">
        <v>443</v>
      </c>
      <c r="B55" s="67" t="str">
        <f t="shared" ref="B55:S55" si="11">IF(B50="","",B33*B34/12/1000000+B50*B35)</f>
        <v/>
      </c>
      <c r="C55" s="67" t="str">
        <f t="shared" si="11"/>
        <v/>
      </c>
      <c r="D55" s="67" t="str">
        <f t="shared" si="11"/>
        <v/>
      </c>
      <c r="E55" s="67" t="str">
        <f t="shared" si="11"/>
        <v/>
      </c>
      <c r="F55" s="67" t="str">
        <f t="shared" si="11"/>
        <v/>
      </c>
      <c r="G55" s="67" t="str">
        <f t="shared" si="11"/>
        <v/>
      </c>
      <c r="H55" s="67" t="str">
        <f t="shared" si="11"/>
        <v/>
      </c>
      <c r="I55" s="67" t="str">
        <f t="shared" si="11"/>
        <v/>
      </c>
      <c r="J55" s="67" t="str">
        <f t="shared" si="11"/>
        <v/>
      </c>
      <c r="K55" s="67" t="str">
        <f t="shared" si="11"/>
        <v/>
      </c>
      <c r="L55" s="67" t="str">
        <f t="shared" si="11"/>
        <v/>
      </c>
      <c r="M55" s="67" t="str">
        <f t="shared" si="11"/>
        <v/>
      </c>
      <c r="N55" s="67" t="str">
        <f t="shared" si="11"/>
        <v/>
      </c>
      <c r="O55" s="67" t="str">
        <f t="shared" si="11"/>
        <v/>
      </c>
      <c r="P55" s="67" t="str">
        <f t="shared" si="11"/>
        <v/>
      </c>
      <c r="Q55" s="67" t="str">
        <f t="shared" si="11"/>
        <v/>
      </c>
      <c r="R55" s="67" t="str">
        <f t="shared" si="11"/>
        <v/>
      </c>
      <c r="S55" s="67" t="str">
        <f t="shared" si="11"/>
        <v/>
      </c>
      <c r="T55" s="35" t="s">
        <v>408</v>
      </c>
      <c r="U55" s="37"/>
      <c r="V55" s="4"/>
      <c r="W55" s="4"/>
      <c r="X55" s="4"/>
      <c r="Y55" s="4"/>
      <c r="Z55" s="4"/>
      <c r="AA55" s="4"/>
      <c r="AB55" s="4"/>
      <c r="AC55" s="4"/>
      <c r="AD55" s="4"/>
    </row>
    <row r="56" spans="1:30">
      <c r="A56" s="58" t="s">
        <v>444</v>
      </c>
      <c r="B56" s="68" t="str">
        <f t="shared" ref="B56:S56" si="12">IF(B50="","",B50*B36)</f>
        <v/>
      </c>
      <c r="C56" s="68" t="str">
        <f t="shared" si="12"/>
        <v/>
      </c>
      <c r="D56" s="68" t="str">
        <f t="shared" si="12"/>
        <v/>
      </c>
      <c r="E56" s="68" t="str">
        <f t="shared" si="12"/>
        <v/>
      </c>
      <c r="F56" s="68" t="str">
        <f t="shared" si="12"/>
        <v/>
      </c>
      <c r="G56" s="68" t="str">
        <f t="shared" si="12"/>
        <v/>
      </c>
      <c r="H56" s="68" t="str">
        <f t="shared" si="12"/>
        <v/>
      </c>
      <c r="I56" s="68" t="str">
        <f t="shared" si="12"/>
        <v/>
      </c>
      <c r="J56" s="68" t="str">
        <f t="shared" si="12"/>
        <v/>
      </c>
      <c r="K56" s="68" t="str">
        <f t="shared" si="12"/>
        <v/>
      </c>
      <c r="L56" s="68" t="str">
        <f t="shared" si="12"/>
        <v/>
      </c>
      <c r="M56" s="68" t="str">
        <f t="shared" si="12"/>
        <v/>
      </c>
      <c r="N56" s="68" t="str">
        <f t="shared" si="12"/>
        <v/>
      </c>
      <c r="O56" s="68" t="str">
        <f t="shared" si="12"/>
        <v/>
      </c>
      <c r="P56" s="68" t="str">
        <f t="shared" si="12"/>
        <v/>
      </c>
      <c r="Q56" s="68" t="str">
        <f t="shared" si="12"/>
        <v/>
      </c>
      <c r="R56" s="68" t="str">
        <f t="shared" si="12"/>
        <v/>
      </c>
      <c r="S56" s="68" t="str">
        <f t="shared" si="12"/>
        <v/>
      </c>
      <c r="T56" s="8" t="s">
        <v>408</v>
      </c>
      <c r="U56" s="9"/>
      <c r="V56" s="4"/>
      <c r="W56" s="4"/>
      <c r="X56" s="4"/>
      <c r="Y56" s="4"/>
      <c r="Z56" s="4"/>
      <c r="AA56" s="4"/>
      <c r="AB56" s="4"/>
      <c r="AC56" s="4"/>
      <c r="AD56" s="4"/>
    </row>
    <row r="57" spans="1:30">
      <c r="A57" s="56" t="s">
        <v>445</v>
      </c>
      <c r="B57" s="67" t="str">
        <f t="shared" ref="B57:S57" si="13">IF(B50="","",B50-SUM(B52:B56))</f>
        <v/>
      </c>
      <c r="C57" s="67" t="str">
        <f t="shared" si="13"/>
        <v/>
      </c>
      <c r="D57" s="67" t="str">
        <f t="shared" si="13"/>
        <v/>
      </c>
      <c r="E57" s="67" t="str">
        <f t="shared" si="13"/>
        <v/>
      </c>
      <c r="F57" s="67" t="str">
        <f t="shared" si="13"/>
        <v/>
      </c>
      <c r="G57" s="67" t="str">
        <f t="shared" si="13"/>
        <v/>
      </c>
      <c r="H57" s="67" t="str">
        <f t="shared" si="13"/>
        <v/>
      </c>
      <c r="I57" s="67" t="str">
        <f t="shared" si="13"/>
        <v/>
      </c>
      <c r="J57" s="67" t="str">
        <f t="shared" si="13"/>
        <v/>
      </c>
      <c r="K57" s="67" t="str">
        <f t="shared" si="13"/>
        <v/>
      </c>
      <c r="L57" s="67" t="str">
        <f t="shared" si="13"/>
        <v/>
      </c>
      <c r="M57" s="67" t="str">
        <f t="shared" si="13"/>
        <v/>
      </c>
      <c r="N57" s="67" t="str">
        <f t="shared" si="13"/>
        <v/>
      </c>
      <c r="O57" s="67" t="str">
        <f t="shared" si="13"/>
        <v/>
      </c>
      <c r="P57" s="67" t="str">
        <f t="shared" si="13"/>
        <v/>
      </c>
      <c r="Q57" s="67" t="str">
        <f t="shared" si="13"/>
        <v/>
      </c>
      <c r="R57" s="67" t="str">
        <f t="shared" si="13"/>
        <v/>
      </c>
      <c r="S57" s="67" t="str">
        <f t="shared" si="13"/>
        <v/>
      </c>
      <c r="T57" s="35" t="s">
        <v>408</v>
      </c>
      <c r="U57" s="37"/>
      <c r="V57" s="4"/>
      <c r="W57" s="4"/>
      <c r="X57" s="4"/>
      <c r="Y57" s="4"/>
      <c r="Z57" s="4"/>
      <c r="AA57" s="4"/>
      <c r="AB57" s="4"/>
      <c r="AC57" s="4"/>
      <c r="AD57" s="4"/>
    </row>
    <row r="58" spans="1:30">
      <c r="A58" s="58" t="s">
        <v>446</v>
      </c>
      <c r="B58" s="20" t="str">
        <f t="shared" ref="B58:S58" si="14">IF(B50="","",B57/B50)</f>
        <v/>
      </c>
      <c r="C58" s="20" t="str">
        <f t="shared" si="14"/>
        <v/>
      </c>
      <c r="D58" s="20" t="str">
        <f t="shared" si="14"/>
        <v/>
      </c>
      <c r="E58" s="20" t="str">
        <f t="shared" si="14"/>
        <v/>
      </c>
      <c r="F58" s="20" t="str">
        <f t="shared" si="14"/>
        <v/>
      </c>
      <c r="G58" s="20" t="str">
        <f t="shared" si="14"/>
        <v/>
      </c>
      <c r="H58" s="20" t="str">
        <f t="shared" si="14"/>
        <v/>
      </c>
      <c r="I58" s="20" t="str">
        <f t="shared" si="14"/>
        <v/>
      </c>
      <c r="J58" s="20" t="str">
        <f t="shared" si="14"/>
        <v/>
      </c>
      <c r="K58" s="20" t="str">
        <f t="shared" si="14"/>
        <v/>
      </c>
      <c r="L58" s="20" t="str">
        <f t="shared" si="14"/>
        <v/>
      </c>
      <c r="M58" s="20" t="str">
        <f t="shared" si="14"/>
        <v/>
      </c>
      <c r="N58" s="20" t="str">
        <f t="shared" si="14"/>
        <v/>
      </c>
      <c r="O58" s="20" t="str">
        <f t="shared" si="14"/>
        <v/>
      </c>
      <c r="P58" s="20" t="str">
        <f t="shared" si="14"/>
        <v/>
      </c>
      <c r="Q58" s="20" t="str">
        <f t="shared" si="14"/>
        <v/>
      </c>
      <c r="R58" s="20" t="str">
        <f t="shared" si="14"/>
        <v/>
      </c>
      <c r="S58" s="20" t="str">
        <f t="shared" si="14"/>
        <v/>
      </c>
      <c r="T58" s="8" t="s">
        <v>78</v>
      </c>
      <c r="U58" s="9"/>
      <c r="V58" s="4"/>
      <c r="W58" s="4"/>
      <c r="X58" s="4"/>
      <c r="Y58" s="4"/>
      <c r="Z58" s="4"/>
      <c r="AA58" s="4"/>
      <c r="AB58" s="4"/>
      <c r="AC58" s="4"/>
      <c r="AD58" s="4"/>
    </row>
    <row r="59" spans="1:30">
      <c r="A59" s="56" t="s">
        <v>447</v>
      </c>
      <c r="B59" s="67" t="str">
        <f t="shared" ref="B59:S59" si="15">IF(B50="","",SUM(B52:B54))</f>
        <v/>
      </c>
      <c r="C59" s="67" t="str">
        <f t="shared" si="15"/>
        <v/>
      </c>
      <c r="D59" s="67" t="str">
        <f t="shared" si="15"/>
        <v/>
      </c>
      <c r="E59" s="67" t="str">
        <f t="shared" si="15"/>
        <v/>
      </c>
      <c r="F59" s="67" t="str">
        <f t="shared" si="15"/>
        <v/>
      </c>
      <c r="G59" s="67" t="str">
        <f t="shared" si="15"/>
        <v/>
      </c>
      <c r="H59" s="67" t="str">
        <f t="shared" si="15"/>
        <v/>
      </c>
      <c r="I59" s="67" t="str">
        <f t="shared" si="15"/>
        <v/>
      </c>
      <c r="J59" s="67" t="str">
        <f t="shared" si="15"/>
        <v/>
      </c>
      <c r="K59" s="67" t="str">
        <f t="shared" si="15"/>
        <v/>
      </c>
      <c r="L59" s="67" t="str">
        <f t="shared" si="15"/>
        <v/>
      </c>
      <c r="M59" s="67" t="str">
        <f t="shared" si="15"/>
        <v/>
      </c>
      <c r="N59" s="67" t="str">
        <f t="shared" si="15"/>
        <v/>
      </c>
      <c r="O59" s="67" t="str">
        <f t="shared" si="15"/>
        <v/>
      </c>
      <c r="P59" s="67" t="str">
        <f t="shared" si="15"/>
        <v/>
      </c>
      <c r="Q59" s="67" t="str">
        <f t="shared" si="15"/>
        <v/>
      </c>
      <c r="R59" s="67" t="str">
        <f t="shared" si="15"/>
        <v/>
      </c>
      <c r="S59" s="67" t="str">
        <f t="shared" si="15"/>
        <v/>
      </c>
      <c r="T59" s="35" t="s">
        <v>408</v>
      </c>
      <c r="U59" s="37"/>
      <c r="V59" s="4"/>
      <c r="W59" s="4"/>
      <c r="X59" s="4"/>
      <c r="Y59" s="4"/>
      <c r="Z59" s="4"/>
      <c r="AA59" s="4"/>
      <c r="AB59" s="4"/>
      <c r="AC59" s="4"/>
      <c r="AD59" s="4"/>
    </row>
    <row r="60" spans="1:30">
      <c r="A60" s="58" t="s">
        <v>448</v>
      </c>
      <c r="B60" s="68" t="str">
        <f t="shared" ref="B60:S60" si="16">IF(B50="","",B50*(B37+$R$8)/30)</f>
        <v/>
      </c>
      <c r="C60" s="68" t="str">
        <f t="shared" si="16"/>
        <v/>
      </c>
      <c r="D60" s="68" t="str">
        <f t="shared" si="16"/>
        <v/>
      </c>
      <c r="E60" s="68" t="str">
        <f t="shared" si="16"/>
        <v/>
      </c>
      <c r="F60" s="68" t="str">
        <f t="shared" si="16"/>
        <v/>
      </c>
      <c r="G60" s="68" t="str">
        <f t="shared" si="16"/>
        <v/>
      </c>
      <c r="H60" s="68" t="str">
        <f t="shared" si="16"/>
        <v/>
      </c>
      <c r="I60" s="68" t="str">
        <f t="shared" si="16"/>
        <v/>
      </c>
      <c r="J60" s="68" t="str">
        <f t="shared" si="16"/>
        <v/>
      </c>
      <c r="K60" s="68" t="str">
        <f t="shared" si="16"/>
        <v/>
      </c>
      <c r="L60" s="68" t="str">
        <f t="shared" si="16"/>
        <v/>
      </c>
      <c r="M60" s="68" t="str">
        <f t="shared" si="16"/>
        <v/>
      </c>
      <c r="N60" s="68" t="str">
        <f t="shared" si="16"/>
        <v/>
      </c>
      <c r="O60" s="68" t="str">
        <f t="shared" si="16"/>
        <v/>
      </c>
      <c r="P60" s="68" t="str">
        <f t="shared" si="16"/>
        <v/>
      </c>
      <c r="Q60" s="68" t="str">
        <f t="shared" si="16"/>
        <v/>
      </c>
      <c r="R60" s="68" t="str">
        <f t="shared" si="16"/>
        <v/>
      </c>
      <c r="S60" s="68" t="str">
        <f t="shared" si="16"/>
        <v/>
      </c>
      <c r="T60" s="8" t="s">
        <v>408</v>
      </c>
      <c r="U60" s="9"/>
      <c r="V60" s="4"/>
      <c r="W60" s="4"/>
      <c r="X60" s="4"/>
      <c r="Y60" s="4"/>
      <c r="Z60" s="4"/>
      <c r="AA60" s="4"/>
      <c r="AB60" s="4"/>
      <c r="AC60" s="4"/>
      <c r="AD60" s="4"/>
    </row>
    <row r="61" spans="1:30">
      <c r="A61" s="56" t="s">
        <v>449</v>
      </c>
      <c r="B61" s="67" t="str">
        <f t="shared" ref="B61:S61" si="17">IF(B50="","",B59*(B38+$S$8)/30)</f>
        <v/>
      </c>
      <c r="C61" s="67" t="str">
        <f t="shared" si="17"/>
        <v/>
      </c>
      <c r="D61" s="67" t="str">
        <f t="shared" si="17"/>
        <v/>
      </c>
      <c r="E61" s="67" t="str">
        <f t="shared" si="17"/>
        <v/>
      </c>
      <c r="F61" s="67" t="str">
        <f t="shared" si="17"/>
        <v/>
      </c>
      <c r="G61" s="67" t="str">
        <f t="shared" si="17"/>
        <v/>
      </c>
      <c r="H61" s="67" t="str">
        <f t="shared" si="17"/>
        <v/>
      </c>
      <c r="I61" s="67" t="str">
        <f t="shared" si="17"/>
        <v/>
      </c>
      <c r="J61" s="67" t="str">
        <f t="shared" si="17"/>
        <v/>
      </c>
      <c r="K61" s="67" t="str">
        <f t="shared" si="17"/>
        <v/>
      </c>
      <c r="L61" s="67" t="str">
        <f t="shared" si="17"/>
        <v/>
      </c>
      <c r="M61" s="67" t="str">
        <f t="shared" si="17"/>
        <v/>
      </c>
      <c r="N61" s="67" t="str">
        <f t="shared" si="17"/>
        <v/>
      </c>
      <c r="O61" s="67" t="str">
        <f t="shared" si="17"/>
        <v/>
      </c>
      <c r="P61" s="67" t="str">
        <f t="shared" si="17"/>
        <v/>
      </c>
      <c r="Q61" s="67" t="str">
        <f t="shared" si="17"/>
        <v/>
      </c>
      <c r="R61" s="67" t="str">
        <f t="shared" si="17"/>
        <v/>
      </c>
      <c r="S61" s="67" t="str">
        <f t="shared" si="17"/>
        <v/>
      </c>
      <c r="T61" s="35" t="s">
        <v>408</v>
      </c>
      <c r="U61" s="37"/>
      <c r="V61" s="4"/>
      <c r="W61" s="4"/>
      <c r="X61" s="4"/>
      <c r="Y61" s="4"/>
      <c r="Z61" s="4"/>
      <c r="AA61" s="4"/>
      <c r="AB61" s="4"/>
      <c r="AC61" s="4"/>
      <c r="AD61" s="4"/>
    </row>
    <row r="62" spans="1:30">
      <c r="A62" s="58" t="s">
        <v>450</v>
      </c>
      <c r="B62" s="68" t="str">
        <f t="shared" ref="B62:S62" si="18">IF(B50="","",B52*B39/30)</f>
        <v/>
      </c>
      <c r="C62" s="68" t="str">
        <f t="shared" si="18"/>
        <v/>
      </c>
      <c r="D62" s="68" t="str">
        <f t="shared" si="18"/>
        <v/>
      </c>
      <c r="E62" s="68" t="str">
        <f t="shared" si="18"/>
        <v/>
      </c>
      <c r="F62" s="68" t="str">
        <f t="shared" si="18"/>
        <v/>
      </c>
      <c r="G62" s="68" t="str">
        <f t="shared" si="18"/>
        <v/>
      </c>
      <c r="H62" s="68" t="str">
        <f t="shared" si="18"/>
        <v/>
      </c>
      <c r="I62" s="68" t="str">
        <f t="shared" si="18"/>
        <v/>
      </c>
      <c r="J62" s="68" t="str">
        <f t="shared" si="18"/>
        <v/>
      </c>
      <c r="K62" s="68" t="str">
        <f t="shared" si="18"/>
        <v/>
      </c>
      <c r="L62" s="68" t="str">
        <f t="shared" si="18"/>
        <v/>
      </c>
      <c r="M62" s="68" t="str">
        <f t="shared" si="18"/>
        <v/>
      </c>
      <c r="N62" s="68" t="str">
        <f t="shared" si="18"/>
        <v/>
      </c>
      <c r="O62" s="68" t="str">
        <f t="shared" si="18"/>
        <v/>
      </c>
      <c r="P62" s="68" t="str">
        <f t="shared" si="18"/>
        <v/>
      </c>
      <c r="Q62" s="68" t="str">
        <f t="shared" si="18"/>
        <v/>
      </c>
      <c r="R62" s="68" t="str">
        <f t="shared" si="18"/>
        <v/>
      </c>
      <c r="S62" s="68" t="str">
        <f t="shared" si="18"/>
        <v/>
      </c>
      <c r="T62" s="8" t="s">
        <v>408</v>
      </c>
      <c r="U62" s="9"/>
      <c r="V62" s="4"/>
      <c r="W62" s="4"/>
      <c r="X62" s="4"/>
      <c r="Y62" s="4"/>
      <c r="Z62" s="4"/>
      <c r="AA62" s="4"/>
      <c r="AB62" s="4"/>
      <c r="AC62" s="4"/>
      <c r="AD62" s="4"/>
    </row>
    <row r="63" spans="1:30">
      <c r="A63" s="56" t="s">
        <v>451</v>
      </c>
      <c r="B63" s="67" t="str">
        <f t="shared" ref="B63:S63" si="19">IF(B50="","",B60+B61-B62)</f>
        <v/>
      </c>
      <c r="C63" s="67" t="str">
        <f t="shared" si="19"/>
        <v/>
      </c>
      <c r="D63" s="67" t="str">
        <f t="shared" si="19"/>
        <v/>
      </c>
      <c r="E63" s="67" t="str">
        <f t="shared" si="19"/>
        <v/>
      </c>
      <c r="F63" s="67" t="str">
        <f t="shared" si="19"/>
        <v/>
      </c>
      <c r="G63" s="67" t="str">
        <f t="shared" si="19"/>
        <v/>
      </c>
      <c r="H63" s="67" t="str">
        <f t="shared" si="19"/>
        <v/>
      </c>
      <c r="I63" s="67" t="str">
        <f t="shared" si="19"/>
        <v/>
      </c>
      <c r="J63" s="67" t="str">
        <f t="shared" si="19"/>
        <v/>
      </c>
      <c r="K63" s="67" t="str">
        <f t="shared" si="19"/>
        <v/>
      </c>
      <c r="L63" s="67" t="str">
        <f t="shared" si="19"/>
        <v/>
      </c>
      <c r="M63" s="67" t="str">
        <f t="shared" si="19"/>
        <v/>
      </c>
      <c r="N63" s="67" t="str">
        <f t="shared" si="19"/>
        <v/>
      </c>
      <c r="O63" s="67" t="str">
        <f t="shared" si="19"/>
        <v/>
      </c>
      <c r="P63" s="67" t="str">
        <f t="shared" si="19"/>
        <v/>
      </c>
      <c r="Q63" s="67" t="str">
        <f t="shared" si="19"/>
        <v/>
      </c>
      <c r="R63" s="67" t="str">
        <f t="shared" si="19"/>
        <v/>
      </c>
      <c r="S63" s="67" t="str">
        <f t="shared" si="19"/>
        <v/>
      </c>
      <c r="T63" s="35" t="s">
        <v>408</v>
      </c>
      <c r="U63" s="37"/>
      <c r="V63" s="4"/>
      <c r="W63" s="4"/>
      <c r="X63" s="4"/>
      <c r="Y63" s="4"/>
      <c r="Z63" s="4"/>
      <c r="AA63" s="4"/>
      <c r="AB63" s="4"/>
      <c r="AC63" s="4"/>
      <c r="AD63" s="4"/>
    </row>
    <row r="64" spans="1:30">
      <c r="A64" s="58" t="s">
        <v>452</v>
      </c>
      <c r="B64" s="68">
        <v>0</v>
      </c>
      <c r="C64" s="68" t="str">
        <f t="shared" ref="C64:S64" si="20">IF(C63="","",C63-B63)</f>
        <v/>
      </c>
      <c r="D64" s="68" t="str">
        <f t="shared" si="20"/>
        <v/>
      </c>
      <c r="E64" s="68" t="str">
        <f t="shared" si="20"/>
        <v/>
      </c>
      <c r="F64" s="68" t="str">
        <f t="shared" si="20"/>
        <v/>
      </c>
      <c r="G64" s="68" t="str">
        <f t="shared" si="20"/>
        <v/>
      </c>
      <c r="H64" s="68" t="str">
        <f t="shared" si="20"/>
        <v/>
      </c>
      <c r="I64" s="68" t="str">
        <f t="shared" si="20"/>
        <v/>
      </c>
      <c r="J64" s="68" t="str">
        <f t="shared" si="20"/>
        <v/>
      </c>
      <c r="K64" s="68" t="str">
        <f t="shared" si="20"/>
        <v/>
      </c>
      <c r="L64" s="68" t="str">
        <f t="shared" si="20"/>
        <v/>
      </c>
      <c r="M64" s="68" t="str">
        <f t="shared" si="20"/>
        <v/>
      </c>
      <c r="N64" s="68" t="str">
        <f t="shared" si="20"/>
        <v/>
      </c>
      <c r="O64" s="68" t="str">
        <f t="shared" si="20"/>
        <v/>
      </c>
      <c r="P64" s="68" t="str">
        <f t="shared" si="20"/>
        <v/>
      </c>
      <c r="Q64" s="68" t="str">
        <f t="shared" si="20"/>
        <v/>
      </c>
      <c r="R64" s="68" t="str">
        <f t="shared" si="20"/>
        <v/>
      </c>
      <c r="S64" s="68" t="str">
        <f t="shared" si="20"/>
        <v/>
      </c>
      <c r="T64" s="8" t="s">
        <v>408</v>
      </c>
      <c r="U64" s="9"/>
      <c r="V64" s="4"/>
      <c r="W64" s="4"/>
      <c r="X64" s="4"/>
      <c r="Y64" s="4"/>
      <c r="Z64" s="4"/>
      <c r="AA64" s="4"/>
      <c r="AB64" s="4"/>
      <c r="AC64" s="4"/>
      <c r="AD64" s="4"/>
    </row>
    <row r="65" spans="1:30">
      <c r="A65" s="56" t="s">
        <v>453</v>
      </c>
      <c r="B65" s="67" t="str">
        <f t="shared" ref="B65:S65" si="21">IF(B50="","",B50*B40*$T$8)</f>
        <v/>
      </c>
      <c r="C65" s="67" t="str">
        <f t="shared" si="21"/>
        <v/>
      </c>
      <c r="D65" s="67" t="str">
        <f t="shared" si="21"/>
        <v/>
      </c>
      <c r="E65" s="67" t="str">
        <f t="shared" si="21"/>
        <v/>
      </c>
      <c r="F65" s="67" t="str">
        <f t="shared" si="21"/>
        <v/>
      </c>
      <c r="G65" s="67" t="str">
        <f t="shared" si="21"/>
        <v/>
      </c>
      <c r="H65" s="67" t="str">
        <f t="shared" si="21"/>
        <v/>
      </c>
      <c r="I65" s="67" t="str">
        <f t="shared" si="21"/>
        <v/>
      </c>
      <c r="J65" s="67" t="str">
        <f t="shared" si="21"/>
        <v/>
      </c>
      <c r="K65" s="67" t="str">
        <f t="shared" si="21"/>
        <v/>
      </c>
      <c r="L65" s="67" t="str">
        <f t="shared" si="21"/>
        <v/>
      </c>
      <c r="M65" s="67" t="str">
        <f t="shared" si="21"/>
        <v/>
      </c>
      <c r="N65" s="67" t="str">
        <f t="shared" si="21"/>
        <v/>
      </c>
      <c r="O65" s="67" t="str">
        <f t="shared" si="21"/>
        <v/>
      </c>
      <c r="P65" s="67" t="str">
        <f t="shared" si="21"/>
        <v/>
      </c>
      <c r="Q65" s="67" t="str">
        <f t="shared" si="21"/>
        <v/>
      </c>
      <c r="R65" s="67" t="str">
        <f t="shared" si="21"/>
        <v/>
      </c>
      <c r="S65" s="67" t="str">
        <f t="shared" si="21"/>
        <v/>
      </c>
      <c r="T65" s="35" t="s">
        <v>408</v>
      </c>
      <c r="U65" s="37"/>
      <c r="V65" s="4"/>
      <c r="W65" s="4"/>
      <c r="X65" s="4"/>
      <c r="Y65" s="4"/>
      <c r="Z65" s="4"/>
      <c r="AA65" s="4"/>
      <c r="AB65" s="4"/>
      <c r="AC65" s="4"/>
      <c r="AD65" s="4"/>
    </row>
    <row r="66" spans="1:30">
      <c r="A66" s="58" t="s">
        <v>454</v>
      </c>
      <c r="B66" s="68" t="str">
        <f t="shared" ref="B66:S66" si="22">IF(B57="","",MAX(0,B57*B41))</f>
        <v/>
      </c>
      <c r="C66" s="68" t="str">
        <f t="shared" si="22"/>
        <v/>
      </c>
      <c r="D66" s="68" t="str">
        <f t="shared" si="22"/>
        <v/>
      </c>
      <c r="E66" s="68" t="str">
        <f t="shared" si="22"/>
        <v/>
      </c>
      <c r="F66" s="68" t="str">
        <f t="shared" si="22"/>
        <v/>
      </c>
      <c r="G66" s="68" t="str">
        <f t="shared" si="22"/>
        <v/>
      </c>
      <c r="H66" s="68" t="str">
        <f t="shared" si="22"/>
        <v/>
      </c>
      <c r="I66" s="68" t="str">
        <f t="shared" si="22"/>
        <v/>
      </c>
      <c r="J66" s="68" t="str">
        <f t="shared" si="22"/>
        <v/>
      </c>
      <c r="K66" s="68" t="str">
        <f t="shared" si="22"/>
        <v/>
      </c>
      <c r="L66" s="68" t="str">
        <f t="shared" si="22"/>
        <v/>
      </c>
      <c r="M66" s="68" t="str">
        <f t="shared" si="22"/>
        <v/>
      </c>
      <c r="N66" s="68" t="str">
        <f t="shared" si="22"/>
        <v/>
      </c>
      <c r="O66" s="68" t="str">
        <f t="shared" si="22"/>
        <v/>
      </c>
      <c r="P66" s="68" t="str">
        <f t="shared" si="22"/>
        <v/>
      </c>
      <c r="Q66" s="68" t="str">
        <f t="shared" si="22"/>
        <v/>
      </c>
      <c r="R66" s="68" t="str">
        <f t="shared" si="22"/>
        <v/>
      </c>
      <c r="S66" s="68" t="str">
        <f t="shared" si="22"/>
        <v/>
      </c>
      <c r="T66" s="8" t="s">
        <v>408</v>
      </c>
      <c r="U66" s="9"/>
      <c r="V66" s="4"/>
      <c r="W66" s="4"/>
      <c r="X66" s="4"/>
      <c r="Y66" s="4"/>
      <c r="Z66" s="4"/>
      <c r="AA66" s="4"/>
      <c r="AB66" s="4"/>
      <c r="AC66" s="4"/>
      <c r="AD66" s="4"/>
    </row>
    <row r="67" spans="1:30">
      <c r="A67" s="56" t="s">
        <v>455</v>
      </c>
      <c r="B67" s="67" t="str">
        <f t="shared" ref="B67:S67" si="23">IF(B57="","",B57-B65-B66-B64)</f>
        <v/>
      </c>
      <c r="C67" s="67" t="str">
        <f t="shared" si="23"/>
        <v/>
      </c>
      <c r="D67" s="67" t="str">
        <f t="shared" si="23"/>
        <v/>
      </c>
      <c r="E67" s="67" t="str">
        <f t="shared" si="23"/>
        <v/>
      </c>
      <c r="F67" s="67" t="str">
        <f t="shared" si="23"/>
        <v/>
      </c>
      <c r="G67" s="67" t="str">
        <f t="shared" si="23"/>
        <v/>
      </c>
      <c r="H67" s="67" t="str">
        <f t="shared" si="23"/>
        <v/>
      </c>
      <c r="I67" s="67" t="str">
        <f t="shared" si="23"/>
        <v/>
      </c>
      <c r="J67" s="67" t="str">
        <f t="shared" si="23"/>
        <v/>
      </c>
      <c r="K67" s="67" t="str">
        <f t="shared" si="23"/>
        <v/>
      </c>
      <c r="L67" s="67" t="str">
        <f t="shared" si="23"/>
        <v/>
      </c>
      <c r="M67" s="67" t="str">
        <f t="shared" si="23"/>
        <v/>
      </c>
      <c r="N67" s="67" t="str">
        <f t="shared" si="23"/>
        <v/>
      </c>
      <c r="O67" s="67" t="str">
        <f t="shared" si="23"/>
        <v/>
      </c>
      <c r="P67" s="67" t="str">
        <f t="shared" si="23"/>
        <v/>
      </c>
      <c r="Q67" s="67" t="str">
        <f t="shared" si="23"/>
        <v/>
      </c>
      <c r="R67" s="67" t="str">
        <f t="shared" si="23"/>
        <v/>
      </c>
      <c r="S67" s="67" t="str">
        <f t="shared" si="23"/>
        <v/>
      </c>
      <c r="T67" s="35" t="s">
        <v>408</v>
      </c>
      <c r="U67" s="37"/>
      <c r="V67" s="4"/>
      <c r="W67" s="4"/>
      <c r="X67" s="4"/>
      <c r="Y67" s="4"/>
      <c r="Z67" s="4"/>
      <c r="AA67" s="4"/>
      <c r="AB67" s="4"/>
      <c r="AC67" s="4"/>
      <c r="AD67" s="4"/>
    </row>
    <row r="68" spans="1:30">
      <c r="A68" s="64" t="s">
        <v>456</v>
      </c>
      <c r="B68" s="70" t="str">
        <f>IF(B67="","",600+B67)</f>
        <v/>
      </c>
      <c r="C68" s="70" t="str">
        <f t="shared" ref="C68:S68" si="24">IF(C67="","",B68+C67)</f>
        <v/>
      </c>
      <c r="D68" s="70" t="str">
        <f t="shared" si="24"/>
        <v/>
      </c>
      <c r="E68" s="70" t="str">
        <f t="shared" si="24"/>
        <v/>
      </c>
      <c r="F68" s="70" t="str">
        <f t="shared" si="24"/>
        <v/>
      </c>
      <c r="G68" s="70" t="str">
        <f t="shared" si="24"/>
        <v/>
      </c>
      <c r="H68" s="70" t="str">
        <f t="shared" si="24"/>
        <v/>
      </c>
      <c r="I68" s="70" t="str">
        <f t="shared" si="24"/>
        <v/>
      </c>
      <c r="J68" s="70" t="str">
        <f t="shared" si="24"/>
        <v/>
      </c>
      <c r="K68" s="70" t="str">
        <f t="shared" si="24"/>
        <v/>
      </c>
      <c r="L68" s="70" t="str">
        <f t="shared" si="24"/>
        <v/>
      </c>
      <c r="M68" s="70" t="str">
        <f t="shared" si="24"/>
        <v/>
      </c>
      <c r="N68" s="70" t="str">
        <f t="shared" si="24"/>
        <v/>
      </c>
      <c r="O68" s="70" t="str">
        <f t="shared" si="24"/>
        <v/>
      </c>
      <c r="P68" s="70" t="str">
        <f t="shared" si="24"/>
        <v/>
      </c>
      <c r="Q68" s="70" t="str">
        <f t="shared" si="24"/>
        <v/>
      </c>
      <c r="R68" s="70" t="str">
        <f t="shared" si="24"/>
        <v/>
      </c>
      <c r="S68" s="70" t="str">
        <f t="shared" si="24"/>
        <v/>
      </c>
      <c r="T68" s="10" t="s">
        <v>408</v>
      </c>
      <c r="U68" s="11"/>
      <c r="V68" s="4"/>
      <c r="W68" s="4"/>
      <c r="X68" s="4"/>
      <c r="Y68" s="4"/>
      <c r="Z68" s="4"/>
      <c r="AA68" s="4"/>
      <c r="AB68" s="4"/>
      <c r="AC68" s="4"/>
      <c r="AD68" s="4"/>
    </row>
    <row r="69" spans="1:30">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row>
    <row r="70" spans="1:30" ht="16" customHeight="1">
      <c r="A70" s="195" t="s">
        <v>457</v>
      </c>
      <c r="B70" s="195"/>
      <c r="C70" s="195"/>
      <c r="D70" s="195"/>
      <c r="E70" s="195"/>
      <c r="F70" s="195"/>
      <c r="G70" s="195"/>
      <c r="H70" s="195"/>
      <c r="I70" s="195"/>
      <c r="J70" s="195"/>
      <c r="K70" s="195"/>
      <c r="L70" s="195"/>
      <c r="M70" s="195"/>
      <c r="N70" s="195"/>
      <c r="O70" s="195"/>
      <c r="P70" s="195"/>
      <c r="Q70" s="195"/>
      <c r="R70" s="195"/>
      <c r="S70" s="195"/>
      <c r="T70" s="195"/>
      <c r="U70" s="195"/>
      <c r="V70" s="4"/>
      <c r="W70" s="4"/>
      <c r="X70" s="4"/>
      <c r="Y70" s="4"/>
      <c r="Z70" s="4"/>
      <c r="AA70" s="4"/>
      <c r="AB70" s="4"/>
      <c r="AC70" s="4"/>
      <c r="AD70" s="4"/>
    </row>
    <row r="71" spans="1:30" ht="25.4" customHeight="1">
      <c r="A71" s="12" t="s">
        <v>458</v>
      </c>
      <c r="B71" s="13" t="s">
        <v>459</v>
      </c>
      <c r="C71" s="13" t="s">
        <v>460</v>
      </c>
      <c r="D71" s="13" t="s">
        <v>461</v>
      </c>
      <c r="E71" s="13" t="s">
        <v>462</v>
      </c>
      <c r="F71" s="13" t="s">
        <v>62</v>
      </c>
      <c r="G71" s="13" t="s">
        <v>463</v>
      </c>
      <c r="H71" s="13" t="s">
        <v>464</v>
      </c>
      <c r="I71" s="271" t="s">
        <v>465</v>
      </c>
      <c r="J71" s="271"/>
      <c r="K71" s="271"/>
      <c r="L71" s="271"/>
      <c r="M71" s="271"/>
      <c r="N71" s="271"/>
      <c r="O71" s="271"/>
      <c r="P71" s="271"/>
      <c r="Q71" s="271"/>
      <c r="R71" s="271"/>
      <c r="S71" s="271"/>
      <c r="T71" s="271"/>
      <c r="U71" s="272"/>
      <c r="V71" s="4"/>
      <c r="W71" s="4"/>
      <c r="X71" s="4"/>
      <c r="Y71" s="4"/>
      <c r="Z71" s="4"/>
      <c r="AA71" s="4"/>
      <c r="AB71" s="4"/>
      <c r="AC71" s="4"/>
      <c r="AD71" s="4"/>
    </row>
    <row r="72" spans="1:30">
      <c r="A72" s="15" t="s">
        <v>466</v>
      </c>
      <c r="B72" s="33"/>
      <c r="C72" s="33"/>
      <c r="D72" s="273"/>
      <c r="E72" s="273"/>
      <c r="F72" s="33"/>
      <c r="G72" s="71"/>
      <c r="H72" s="33"/>
      <c r="I72" s="273"/>
      <c r="J72" s="273"/>
      <c r="K72" s="273"/>
      <c r="L72" s="273"/>
      <c r="M72" s="273"/>
      <c r="N72" s="273"/>
      <c r="O72" s="273"/>
      <c r="P72" s="273"/>
      <c r="Q72" s="273"/>
      <c r="R72" s="273"/>
      <c r="S72" s="273"/>
      <c r="T72" s="273"/>
      <c r="U72" s="274"/>
      <c r="V72" s="4"/>
      <c r="W72" s="4"/>
      <c r="X72" s="4"/>
      <c r="Y72" s="4"/>
      <c r="Z72" s="4"/>
      <c r="AA72" s="4"/>
      <c r="AB72" s="4"/>
      <c r="AC72" s="4"/>
      <c r="AD72" s="4"/>
    </row>
    <row r="73" spans="1:30">
      <c r="A73" s="18" t="s">
        <v>467</v>
      </c>
      <c r="B73" s="36"/>
      <c r="C73" s="36"/>
      <c r="D73" s="275"/>
      <c r="E73" s="275"/>
      <c r="F73" s="36"/>
      <c r="G73" s="72"/>
      <c r="H73" s="36"/>
      <c r="I73" s="275"/>
      <c r="J73" s="275"/>
      <c r="K73" s="275"/>
      <c r="L73" s="275"/>
      <c r="M73" s="275"/>
      <c r="N73" s="275"/>
      <c r="O73" s="275"/>
      <c r="P73" s="275"/>
      <c r="Q73" s="275"/>
      <c r="R73" s="275"/>
      <c r="S73" s="275"/>
      <c r="T73" s="275"/>
      <c r="U73" s="276"/>
      <c r="V73" s="4"/>
      <c r="W73" s="4"/>
      <c r="X73" s="4"/>
      <c r="Y73" s="4"/>
      <c r="Z73" s="4"/>
      <c r="AA73" s="4"/>
      <c r="AB73" s="4"/>
      <c r="AC73" s="4"/>
      <c r="AD73" s="4"/>
    </row>
    <row r="74" spans="1:30">
      <c r="A74" s="18" t="s">
        <v>468</v>
      </c>
      <c r="B74" s="36"/>
      <c r="C74" s="36"/>
      <c r="D74" s="275"/>
      <c r="E74" s="275"/>
      <c r="F74" s="36"/>
      <c r="G74" s="72"/>
      <c r="H74" s="36"/>
      <c r="I74" s="275"/>
      <c r="J74" s="275"/>
      <c r="K74" s="275"/>
      <c r="L74" s="275"/>
      <c r="M74" s="275"/>
      <c r="N74" s="275"/>
      <c r="O74" s="275"/>
      <c r="P74" s="275"/>
      <c r="Q74" s="275"/>
      <c r="R74" s="275"/>
      <c r="S74" s="275"/>
      <c r="T74" s="275"/>
      <c r="U74" s="276"/>
      <c r="V74" s="4"/>
      <c r="W74" s="4"/>
      <c r="X74" s="4"/>
      <c r="Y74" s="4"/>
      <c r="Z74" s="4"/>
      <c r="AA74" s="4"/>
      <c r="AB74" s="4"/>
      <c r="AC74" s="4"/>
      <c r="AD74" s="4"/>
    </row>
    <row r="75" spans="1:30">
      <c r="A75" s="18" t="s">
        <v>469</v>
      </c>
      <c r="B75" s="36"/>
      <c r="C75" s="36"/>
      <c r="D75" s="275"/>
      <c r="E75" s="275"/>
      <c r="F75" s="36"/>
      <c r="G75" s="72"/>
      <c r="H75" s="36"/>
      <c r="I75" s="275"/>
      <c r="J75" s="275"/>
      <c r="K75" s="275"/>
      <c r="L75" s="275"/>
      <c r="M75" s="275"/>
      <c r="N75" s="275"/>
      <c r="O75" s="275"/>
      <c r="P75" s="275"/>
      <c r="Q75" s="275"/>
      <c r="R75" s="275"/>
      <c r="S75" s="275"/>
      <c r="T75" s="275"/>
      <c r="U75" s="276"/>
      <c r="V75" s="4"/>
      <c r="W75" s="4"/>
      <c r="X75" s="4"/>
      <c r="Y75" s="4"/>
      <c r="Z75" s="4"/>
      <c r="AA75" s="4"/>
      <c r="AB75" s="4"/>
      <c r="AC75" s="4"/>
      <c r="AD75" s="4"/>
    </row>
    <row r="76" spans="1:30">
      <c r="A76" s="18" t="s">
        <v>470</v>
      </c>
      <c r="B76" s="36"/>
      <c r="C76" s="36"/>
      <c r="D76" s="275"/>
      <c r="E76" s="275"/>
      <c r="F76" s="36"/>
      <c r="G76" s="72"/>
      <c r="H76" s="36"/>
      <c r="I76" s="275"/>
      <c r="J76" s="275"/>
      <c r="K76" s="275"/>
      <c r="L76" s="275"/>
      <c r="M76" s="275"/>
      <c r="N76" s="275"/>
      <c r="O76" s="275"/>
      <c r="P76" s="275"/>
      <c r="Q76" s="275"/>
      <c r="R76" s="275"/>
      <c r="S76" s="275"/>
      <c r="T76" s="275"/>
      <c r="U76" s="276"/>
      <c r="V76" s="4"/>
      <c r="W76" s="4"/>
      <c r="X76" s="4"/>
      <c r="Y76" s="4"/>
      <c r="Z76" s="4"/>
      <c r="AA76" s="4"/>
      <c r="AB76" s="4"/>
      <c r="AC76" s="4"/>
      <c r="AD76" s="4"/>
    </row>
    <row r="77" spans="1:30">
      <c r="A77" s="18" t="s">
        <v>471</v>
      </c>
      <c r="B77" s="36"/>
      <c r="C77" s="36"/>
      <c r="D77" s="275"/>
      <c r="E77" s="275"/>
      <c r="F77" s="36"/>
      <c r="G77" s="72"/>
      <c r="H77" s="36"/>
      <c r="I77" s="275"/>
      <c r="J77" s="275"/>
      <c r="K77" s="275"/>
      <c r="L77" s="275"/>
      <c r="M77" s="275"/>
      <c r="N77" s="275"/>
      <c r="O77" s="275"/>
      <c r="P77" s="275"/>
      <c r="Q77" s="275"/>
      <c r="R77" s="275"/>
      <c r="S77" s="275"/>
      <c r="T77" s="275"/>
      <c r="U77" s="276"/>
      <c r="V77" s="4"/>
      <c r="W77" s="4"/>
      <c r="X77" s="4"/>
      <c r="Y77" s="4"/>
      <c r="Z77" s="4"/>
      <c r="AA77" s="4"/>
      <c r="AB77" s="4"/>
      <c r="AC77" s="4"/>
      <c r="AD77" s="4"/>
    </row>
    <row r="78" spans="1:30">
      <c r="A78" s="18" t="s">
        <v>472</v>
      </c>
      <c r="B78" s="36"/>
      <c r="C78" s="36"/>
      <c r="D78" s="275"/>
      <c r="E78" s="275"/>
      <c r="F78" s="36"/>
      <c r="G78" s="72"/>
      <c r="H78" s="36"/>
      <c r="I78" s="275"/>
      <c r="J78" s="275"/>
      <c r="K78" s="275"/>
      <c r="L78" s="275"/>
      <c r="M78" s="275"/>
      <c r="N78" s="275"/>
      <c r="O78" s="275"/>
      <c r="P78" s="275"/>
      <c r="Q78" s="275"/>
      <c r="R78" s="275"/>
      <c r="S78" s="275"/>
      <c r="T78" s="275"/>
      <c r="U78" s="276"/>
      <c r="V78" s="4"/>
      <c r="W78" s="4"/>
      <c r="X78" s="4"/>
      <c r="Y78" s="4"/>
      <c r="Z78" s="4"/>
      <c r="AA78" s="4"/>
      <c r="AB78" s="4"/>
      <c r="AC78" s="4"/>
      <c r="AD78" s="4"/>
    </row>
    <row r="79" spans="1:30">
      <c r="A79" s="28" t="s">
        <v>473</v>
      </c>
      <c r="B79" s="38"/>
      <c r="C79" s="38"/>
      <c r="D79" s="277"/>
      <c r="E79" s="277"/>
      <c r="F79" s="38"/>
      <c r="G79" s="73"/>
      <c r="H79" s="38"/>
      <c r="I79" s="277"/>
      <c r="J79" s="277"/>
      <c r="K79" s="277"/>
      <c r="L79" s="277"/>
      <c r="M79" s="277"/>
      <c r="N79" s="277"/>
      <c r="O79" s="277"/>
      <c r="P79" s="277"/>
      <c r="Q79" s="277"/>
      <c r="R79" s="277"/>
      <c r="S79" s="277"/>
      <c r="T79" s="277"/>
      <c r="U79" s="278"/>
      <c r="V79" s="4"/>
      <c r="W79" s="4"/>
      <c r="X79" s="4"/>
      <c r="Y79" s="4"/>
      <c r="Z79" s="4"/>
      <c r="AA79" s="4"/>
      <c r="AB79" s="4"/>
      <c r="AC79" s="4"/>
      <c r="AD79" s="4"/>
    </row>
    <row r="80" spans="1:30">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row>
    <row r="81" spans="1:30" ht="13.4" customHeight="1">
      <c r="A81" s="220" t="s">
        <v>474</v>
      </c>
      <c r="B81" s="220"/>
      <c r="C81" s="220"/>
      <c r="D81" s="220"/>
      <c r="E81" s="220"/>
      <c r="F81" s="220"/>
      <c r="G81" s="220"/>
      <c r="H81" s="220"/>
      <c r="I81" s="220"/>
      <c r="J81" s="220"/>
      <c r="K81" s="220"/>
      <c r="L81" s="220"/>
      <c r="M81" s="220"/>
      <c r="N81" s="220"/>
      <c r="O81" s="220"/>
      <c r="P81" s="220"/>
      <c r="Q81" s="220"/>
      <c r="R81" s="220"/>
      <c r="S81" s="220"/>
      <c r="T81" s="220"/>
      <c r="U81" s="220"/>
      <c r="V81" s="4"/>
      <c r="W81" s="4"/>
      <c r="X81" s="4"/>
      <c r="Y81" s="4"/>
      <c r="Z81" s="4"/>
      <c r="AA81" s="4"/>
      <c r="AB81" s="4"/>
      <c r="AC81" s="4"/>
      <c r="AD81" s="4"/>
    </row>
    <row r="82" spans="1:30">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row>
    <row r="83" spans="1:30">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row>
    <row r="84" spans="1:30">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row>
    <row r="85" spans="1:30">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row>
    <row r="86" spans="1:30">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row>
    <row r="87" spans="1:30">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row>
    <row r="88" spans="1:30">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row>
    <row r="89" spans="1:30">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row>
    <row r="90" spans="1:30">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row>
  </sheetData>
  <mergeCells count="26">
    <mergeCell ref="D79:E79"/>
    <mergeCell ref="I79:U79"/>
    <mergeCell ref="A81:U81"/>
    <mergeCell ref="D76:E76"/>
    <mergeCell ref="I76:U76"/>
    <mergeCell ref="D77:E77"/>
    <mergeCell ref="I77:U77"/>
    <mergeCell ref="D78:E78"/>
    <mergeCell ref="I78:U78"/>
    <mergeCell ref="D73:E73"/>
    <mergeCell ref="I73:U73"/>
    <mergeCell ref="D74:E74"/>
    <mergeCell ref="I74:U74"/>
    <mergeCell ref="D75:E75"/>
    <mergeCell ref="I75:U75"/>
    <mergeCell ref="A12:U12"/>
    <mergeCell ref="A43:U43"/>
    <mergeCell ref="A70:U70"/>
    <mergeCell ref="I71:U71"/>
    <mergeCell ref="D72:E72"/>
    <mergeCell ref="I72:U72"/>
    <mergeCell ref="A1:G1"/>
    <mergeCell ref="H1:U1"/>
    <mergeCell ref="A2:U2"/>
    <mergeCell ref="A3:U3"/>
    <mergeCell ref="D6:U6"/>
  </mergeCells>
  <conditionalFormatting sqref="B58:S58">
    <cfRule type="colorScale" priority="1">
      <colorScale>
        <cfvo type="min"/>
        <cfvo type="percentile" val="50"/>
        <cfvo type="max"/>
        <color rgb="FFF5DFDE"/>
        <color rgb="FFF7EDCF"/>
        <color rgb="FFE1EFE7"/>
      </colorScale>
    </cfRule>
  </conditionalFormatting>
  <conditionalFormatting sqref="B67:S67">
    <cfRule type="colorScale" priority="2">
      <colorScale>
        <cfvo type="min"/>
        <cfvo type="percentile" val="50"/>
        <cfvo type="max"/>
        <color rgb="FFF5DFDE"/>
        <color rgb="FFF7EDCF"/>
        <color rgb="FFE1EFE7"/>
      </colorScale>
    </cfRule>
  </conditionalFormatting>
  <dataValidations count="2">
    <dataValidation type="list" sqref="B6">
      <formula1>"Base,Upside,Downside"</formula1>
    </dataValidation>
    <dataValidation type="list" sqref="H72:H79">
      <formula1>"Not Started,In Progress,At Risk,Complete"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0"/>
  <sheetViews>
    <sheetView workbookViewId="0">
      <selection sqref="A1:G1"/>
    </sheetView>
  </sheetViews>
  <sheetFormatPr defaultRowHeight="14"/>
  <cols>
    <col min="1" max="1" width="31" customWidth="1"/>
    <col min="2" max="28" width="10" customWidth="1"/>
    <col min="29" max="29" width="13" customWidth="1"/>
    <col min="30" max="30" width="34" customWidth="1"/>
  </cols>
  <sheetData>
    <row r="1" spans="1:30" ht="14.65" customHeight="1">
      <c r="A1" s="103" t="s">
        <v>0</v>
      </c>
      <c r="B1" s="103"/>
      <c r="C1" s="103"/>
      <c r="D1" s="103"/>
      <c r="E1" s="103"/>
      <c r="F1" s="103"/>
      <c r="G1" s="103"/>
      <c r="H1" s="104" t="s">
        <v>1</v>
      </c>
      <c r="I1" s="104"/>
      <c r="J1" s="104"/>
      <c r="K1" s="104"/>
      <c r="L1" s="104"/>
      <c r="M1" s="104"/>
      <c r="N1" s="104"/>
      <c r="O1" s="104"/>
      <c r="P1" s="104"/>
      <c r="Q1" s="104"/>
      <c r="R1" s="104"/>
      <c r="S1" s="104"/>
      <c r="T1" s="104"/>
      <c r="U1" s="104"/>
      <c r="V1" s="104"/>
      <c r="W1" s="104"/>
      <c r="X1" s="104"/>
      <c r="Y1" s="104"/>
      <c r="Z1" s="104"/>
      <c r="AA1" s="104"/>
      <c r="AB1" s="104"/>
      <c r="AC1" s="104"/>
      <c r="AD1" s="104"/>
    </row>
    <row r="2" spans="1:30" ht="25.4" customHeight="1">
      <c r="A2" s="105" t="s">
        <v>475</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row>
    <row r="3" spans="1:30" ht="14.65" customHeight="1">
      <c r="A3" s="106" t="s">
        <v>476</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row>
    <row r="4" spans="1:30" ht="3.4" customHeight="1">
      <c r="A4" s="5"/>
      <c r="B4" s="5"/>
      <c r="C4" s="5"/>
      <c r="D4" s="5"/>
      <c r="E4" s="5"/>
      <c r="F4" s="5"/>
      <c r="G4" s="5"/>
      <c r="H4" s="5"/>
      <c r="I4" s="5"/>
      <c r="J4" s="5"/>
      <c r="K4" s="5"/>
      <c r="L4" s="5"/>
      <c r="M4" s="5"/>
      <c r="N4" s="5"/>
      <c r="O4" s="5"/>
      <c r="P4" s="5"/>
      <c r="Q4" s="5"/>
      <c r="R4" s="5"/>
      <c r="S4" s="5"/>
      <c r="T4" s="5"/>
      <c r="U4" s="5"/>
      <c r="V4" s="5"/>
      <c r="W4" s="5"/>
      <c r="X4" s="5"/>
      <c r="Y4" s="5"/>
      <c r="Z4" s="5"/>
      <c r="AA4" s="5"/>
      <c r="AB4" s="5"/>
      <c r="AC4" s="5"/>
      <c r="AD4" s="5"/>
    </row>
    <row r="5" spans="1:30">
      <c r="A5" s="4"/>
      <c r="B5" s="4"/>
      <c r="C5" s="4"/>
      <c r="D5" s="4"/>
      <c r="E5" s="4"/>
      <c r="F5" s="4"/>
      <c r="G5" s="4"/>
      <c r="H5" s="4"/>
      <c r="I5" s="4"/>
      <c r="J5" s="4"/>
      <c r="K5" s="4"/>
      <c r="L5" s="4"/>
      <c r="M5" s="4"/>
      <c r="N5" s="4"/>
      <c r="O5" s="4"/>
      <c r="P5" s="4"/>
      <c r="Q5" s="4"/>
      <c r="R5" s="4"/>
      <c r="S5" s="4"/>
      <c r="T5" s="4"/>
      <c r="U5" s="4"/>
      <c r="V5" s="4"/>
      <c r="W5" s="4"/>
      <c r="X5" s="4"/>
      <c r="Y5" s="4"/>
      <c r="Z5" s="4"/>
      <c r="AA5" s="4"/>
      <c r="AB5" s="4"/>
      <c r="AC5" s="4"/>
      <c r="AD5" s="4"/>
    </row>
    <row r="6" spans="1:30" ht="14.65" customHeight="1">
      <c r="A6" s="39" t="s">
        <v>366</v>
      </c>
      <c r="B6" s="40" t="s">
        <v>367</v>
      </c>
      <c r="C6" s="4"/>
      <c r="D6" s="41" t="s">
        <v>369</v>
      </c>
      <c r="E6" s="42" t="s">
        <v>370</v>
      </c>
      <c r="F6" s="42" t="s">
        <v>371</v>
      </c>
      <c r="G6" s="42" t="s">
        <v>372</v>
      </c>
      <c r="H6" s="42" t="s">
        <v>373</v>
      </c>
      <c r="I6" s="42" t="s">
        <v>374</v>
      </c>
      <c r="J6" s="42" t="s">
        <v>375</v>
      </c>
      <c r="K6" s="43" t="s">
        <v>376</v>
      </c>
      <c r="L6" s="4"/>
      <c r="M6" s="1" t="s">
        <v>377</v>
      </c>
      <c r="N6" s="2" t="s">
        <v>378</v>
      </c>
      <c r="O6" s="2" t="s">
        <v>379</v>
      </c>
      <c r="P6" s="2" t="s">
        <v>380</v>
      </c>
      <c r="Q6" s="2" t="s">
        <v>381</v>
      </c>
      <c r="R6" s="2" t="s">
        <v>382</v>
      </c>
      <c r="S6" s="2" t="s">
        <v>383</v>
      </c>
      <c r="T6" s="3" t="s">
        <v>384</v>
      </c>
      <c r="U6" s="4"/>
      <c r="V6" s="222" t="s">
        <v>48</v>
      </c>
      <c r="W6" s="222"/>
      <c r="X6" s="222"/>
      <c r="Y6" s="222" t="s">
        <v>477</v>
      </c>
      <c r="Z6" s="222"/>
      <c r="AA6" s="222"/>
      <c r="AB6" s="222" t="s">
        <v>478</v>
      </c>
      <c r="AC6" s="222"/>
      <c r="AD6" s="222"/>
    </row>
    <row r="7" spans="1:30">
      <c r="A7" s="4"/>
      <c r="B7" s="4"/>
      <c r="C7" s="4"/>
      <c r="D7" s="15" t="s">
        <v>367</v>
      </c>
      <c r="E7" s="17">
        <v>1</v>
      </c>
      <c r="F7" s="17">
        <v>1</v>
      </c>
      <c r="G7" s="17">
        <v>1</v>
      </c>
      <c r="H7" s="17">
        <v>1</v>
      </c>
      <c r="I7" s="45">
        <v>0</v>
      </c>
      <c r="J7" s="45">
        <v>0</v>
      </c>
      <c r="K7" s="46">
        <v>1</v>
      </c>
      <c r="L7" s="4"/>
      <c r="M7" s="47" t="str">
        <f>$B$6</f>
        <v>Base</v>
      </c>
      <c r="N7" s="48">
        <f>IF($B$6="Base",$E$7,IF($B$6="Upside",$E$8,$E$9))</f>
        <v>1</v>
      </c>
      <c r="O7" s="48">
        <f>IF($B$6="Base",$F$7,IF($B$6="Upside",$F$8,$F$9))</f>
        <v>1</v>
      </c>
      <c r="P7" s="48">
        <f>IF($B$6="Base",$G$7,IF($B$6="Upside",$G$8,$G$9))</f>
        <v>1</v>
      </c>
      <c r="Q7" s="48">
        <f>IF($B$6="Base",$H$7,IF($B$6="Upside",$H$8,$H$9))</f>
        <v>1</v>
      </c>
      <c r="R7" s="49">
        <f>IF($B$6="Base",$I$7,IF($B$6="Upside",$I$8,$I$9))</f>
        <v>0</v>
      </c>
      <c r="S7" s="49">
        <f>IF($B$6="Base",$J$7,IF($B$6="Upside",$J$8,$J$9))</f>
        <v>0</v>
      </c>
      <c r="T7" s="50">
        <f>IF($B$6="Base",$K$7,IF($B$6="Upside",$K$8,$K$9))</f>
        <v>1</v>
      </c>
      <c r="U7" s="4"/>
      <c r="V7" s="223">
        <f>SUM(B50:M50)/1000</f>
        <v>7.8545133054796255</v>
      </c>
      <c r="W7" s="279"/>
      <c r="X7" s="280"/>
      <c r="Y7" s="223">
        <f>SUM(N50:Y50)/1000</f>
        <v>8.8200532228446615</v>
      </c>
      <c r="Z7" s="279"/>
      <c r="AA7" s="280"/>
      <c r="AB7" s="233">
        <f>SUM(N57:Y57)/SUM(N50:Y50)</f>
        <v>0.15357734542945795</v>
      </c>
      <c r="AC7" s="287"/>
      <c r="AD7" s="288"/>
    </row>
    <row r="8" spans="1:30">
      <c r="A8" s="4"/>
      <c r="B8" s="4"/>
      <c r="C8" s="4"/>
      <c r="D8" s="18" t="s">
        <v>67</v>
      </c>
      <c r="E8" s="20">
        <v>1.06</v>
      </c>
      <c r="F8" s="20">
        <v>1.01</v>
      </c>
      <c r="G8" s="20">
        <v>0.96</v>
      </c>
      <c r="H8" s="20">
        <v>1.0249999999999999</v>
      </c>
      <c r="I8" s="27">
        <v>-3</v>
      </c>
      <c r="J8" s="27">
        <v>-4</v>
      </c>
      <c r="K8" s="51">
        <v>1.1000000000000001</v>
      </c>
      <c r="L8" s="4"/>
      <c r="M8" s="4"/>
      <c r="N8" s="4"/>
      <c r="O8" s="4"/>
      <c r="P8" s="4"/>
      <c r="Q8" s="4"/>
      <c r="R8" s="4"/>
      <c r="S8" s="4"/>
      <c r="T8" s="4"/>
      <c r="U8" s="4"/>
      <c r="V8" s="281"/>
      <c r="W8" s="282"/>
      <c r="X8" s="283"/>
      <c r="Y8" s="281"/>
      <c r="Z8" s="282"/>
      <c r="AA8" s="283"/>
      <c r="AB8" s="289"/>
      <c r="AC8" s="290"/>
      <c r="AD8" s="291"/>
    </row>
    <row r="9" spans="1:30">
      <c r="A9" s="4"/>
      <c r="B9" s="4"/>
      <c r="C9" s="4"/>
      <c r="D9" s="18" t="s">
        <v>68</v>
      </c>
      <c r="E9" s="20">
        <v>0.92</v>
      </c>
      <c r="F9" s="20">
        <v>0.99</v>
      </c>
      <c r="G9" s="20">
        <v>1.08</v>
      </c>
      <c r="H9" s="20">
        <v>0.98</v>
      </c>
      <c r="I9" s="27">
        <v>5</v>
      </c>
      <c r="J9" s="27">
        <v>7</v>
      </c>
      <c r="K9" s="51">
        <v>0.8</v>
      </c>
      <c r="L9" s="4"/>
      <c r="M9" s="4"/>
      <c r="N9" s="4"/>
      <c r="O9" s="4"/>
      <c r="P9" s="4"/>
      <c r="Q9" s="4"/>
      <c r="R9" s="4"/>
      <c r="S9" s="4"/>
      <c r="T9" s="4"/>
      <c r="U9" s="4"/>
      <c r="V9" s="284"/>
      <c r="W9" s="285"/>
      <c r="X9" s="286"/>
      <c r="Y9" s="284"/>
      <c r="Z9" s="285"/>
      <c r="AA9" s="286"/>
      <c r="AB9" s="292"/>
      <c r="AC9" s="293"/>
      <c r="AD9" s="294"/>
    </row>
    <row r="10" spans="1:30" ht="46">
      <c r="A10" s="4"/>
      <c r="B10" s="4"/>
      <c r="C10" s="4"/>
      <c r="D10" s="28" t="s">
        <v>479</v>
      </c>
      <c r="E10" s="10" t="s">
        <v>480</v>
      </c>
      <c r="F10" s="10"/>
      <c r="G10" s="10"/>
      <c r="H10" s="10"/>
      <c r="I10" s="10"/>
      <c r="J10" s="10"/>
      <c r="K10" s="11"/>
      <c r="L10" s="4"/>
      <c r="M10" s="4"/>
      <c r="N10" s="4"/>
      <c r="O10" s="4"/>
      <c r="P10" s="4"/>
      <c r="Q10" s="4"/>
      <c r="R10" s="4"/>
      <c r="S10" s="4"/>
      <c r="T10" s="4"/>
      <c r="U10" s="4"/>
      <c r="V10" s="4"/>
      <c r="W10" s="4"/>
      <c r="X10" s="4"/>
      <c r="Y10" s="4"/>
      <c r="Z10" s="4"/>
      <c r="AA10" s="4"/>
      <c r="AB10" s="4"/>
      <c r="AC10" s="4"/>
      <c r="AD10" s="4"/>
    </row>
    <row r="11" spans="1:30" ht="16" customHeight="1">
      <c r="A11" s="125" t="s">
        <v>481</v>
      </c>
      <c r="B11" s="125"/>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row>
    <row r="12" spans="1:30">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row>
    <row r="13" spans="1:30" ht="25.4" customHeight="1">
      <c r="A13" s="74" t="s">
        <v>482</v>
      </c>
      <c r="B13" s="75" t="s">
        <v>483</v>
      </c>
      <c r="C13" s="75" t="s">
        <v>483</v>
      </c>
      <c r="D13" s="75" t="s">
        <v>483</v>
      </c>
      <c r="E13" s="75" t="s">
        <v>483</v>
      </c>
      <c r="F13" s="75" t="s">
        <v>483</v>
      </c>
      <c r="G13" s="75" t="s">
        <v>483</v>
      </c>
      <c r="H13" s="75" t="s">
        <v>483</v>
      </c>
      <c r="I13" s="75" t="s">
        <v>483</v>
      </c>
      <c r="J13" s="75" t="s">
        <v>483</v>
      </c>
      <c r="K13" s="76" t="s">
        <v>484</v>
      </c>
      <c r="L13" s="76" t="s">
        <v>484</v>
      </c>
      <c r="M13" s="76" t="s">
        <v>484</v>
      </c>
      <c r="N13" s="76" t="s">
        <v>484</v>
      </c>
      <c r="O13" s="76" t="s">
        <v>484</v>
      </c>
      <c r="P13" s="76" t="s">
        <v>484</v>
      </c>
      <c r="Q13" s="76" t="s">
        <v>484</v>
      </c>
      <c r="R13" s="76" t="s">
        <v>484</v>
      </c>
      <c r="S13" s="76" t="s">
        <v>484</v>
      </c>
      <c r="T13" s="76" t="s">
        <v>484</v>
      </c>
      <c r="U13" s="76" t="s">
        <v>484</v>
      </c>
      <c r="V13" s="76" t="s">
        <v>484</v>
      </c>
      <c r="W13" s="76" t="s">
        <v>484</v>
      </c>
      <c r="X13" s="76" t="s">
        <v>484</v>
      </c>
      <c r="Y13" s="76" t="s">
        <v>484</v>
      </c>
      <c r="Z13" s="76" t="s">
        <v>484</v>
      </c>
      <c r="AA13" s="76" t="s">
        <v>484</v>
      </c>
      <c r="AB13" s="76" t="s">
        <v>484</v>
      </c>
      <c r="AC13" s="77" t="s">
        <v>69</v>
      </c>
      <c r="AD13" s="78" t="s">
        <v>485</v>
      </c>
    </row>
    <row r="14" spans="1:30" ht="25.4" customHeight="1">
      <c r="A14" s="79" t="s">
        <v>386</v>
      </c>
      <c r="B14" s="80">
        <v>43831</v>
      </c>
      <c r="C14" s="80">
        <v>43862</v>
      </c>
      <c r="D14" s="80">
        <v>43891</v>
      </c>
      <c r="E14" s="80">
        <v>43922</v>
      </c>
      <c r="F14" s="80">
        <v>43952</v>
      </c>
      <c r="G14" s="80">
        <v>43983</v>
      </c>
      <c r="H14" s="80">
        <v>44013</v>
      </c>
      <c r="I14" s="80">
        <v>44044</v>
      </c>
      <c r="J14" s="80">
        <v>44075</v>
      </c>
      <c r="K14" s="80">
        <v>44105</v>
      </c>
      <c r="L14" s="80">
        <v>44136</v>
      </c>
      <c r="M14" s="80">
        <v>44166</v>
      </c>
      <c r="N14" s="80">
        <v>44197</v>
      </c>
      <c r="O14" s="80">
        <v>44228</v>
      </c>
      <c r="P14" s="80">
        <v>44256</v>
      </c>
      <c r="Q14" s="80">
        <v>44287</v>
      </c>
      <c r="R14" s="80">
        <v>44317</v>
      </c>
      <c r="S14" s="80">
        <v>44348</v>
      </c>
      <c r="T14" s="80">
        <v>44378</v>
      </c>
      <c r="U14" s="80">
        <v>44409</v>
      </c>
      <c r="V14" s="80">
        <v>44440</v>
      </c>
      <c r="W14" s="80">
        <v>44470</v>
      </c>
      <c r="X14" s="80">
        <v>44501</v>
      </c>
      <c r="Y14" s="80">
        <v>44531</v>
      </c>
      <c r="Z14" s="80">
        <v>44562</v>
      </c>
      <c r="AA14" s="80">
        <v>44593</v>
      </c>
      <c r="AB14" s="80">
        <v>44621</v>
      </c>
      <c r="AC14" s="81" t="s">
        <v>69</v>
      </c>
      <c r="AD14" s="82" t="s">
        <v>485</v>
      </c>
    </row>
    <row r="15" spans="1:30">
      <c r="A15" s="54" t="s">
        <v>149</v>
      </c>
      <c r="B15" s="83">
        <v>4590</v>
      </c>
      <c r="C15" s="83">
        <v>4692</v>
      </c>
      <c r="D15" s="83">
        <v>4896</v>
      </c>
      <c r="E15" s="83">
        <v>3500.6400000000003</v>
      </c>
      <c r="F15" s="83">
        <v>3580.2000000000003</v>
      </c>
      <c r="G15" s="83">
        <v>4263.6000000000004</v>
      </c>
      <c r="H15" s="83">
        <v>5100</v>
      </c>
      <c r="I15" s="83">
        <v>5202</v>
      </c>
      <c r="J15" s="83">
        <v>5355</v>
      </c>
      <c r="K15" s="55">
        <v>5508</v>
      </c>
      <c r="L15" s="55">
        <v>5355</v>
      </c>
      <c r="M15" s="55">
        <v>4845</v>
      </c>
      <c r="N15" s="55">
        <v>4773.6000000000004</v>
      </c>
      <c r="O15" s="55">
        <v>4879.68</v>
      </c>
      <c r="P15" s="55">
        <v>5091.84</v>
      </c>
      <c r="Q15" s="55">
        <v>4667.5200000000004</v>
      </c>
      <c r="R15" s="55">
        <v>4773.6000000000004</v>
      </c>
      <c r="S15" s="55">
        <v>5038.8</v>
      </c>
      <c r="T15" s="55">
        <v>5304</v>
      </c>
      <c r="U15" s="55">
        <v>5410.08</v>
      </c>
      <c r="V15" s="55">
        <v>5569.2</v>
      </c>
      <c r="W15" s="55">
        <v>5728.3200000000006</v>
      </c>
      <c r="X15" s="55">
        <v>5569.2</v>
      </c>
      <c r="Y15" s="55">
        <v>5038.8</v>
      </c>
      <c r="Z15" s="55">
        <v>4957.2</v>
      </c>
      <c r="AA15" s="55">
        <v>5067.3600000000006</v>
      </c>
      <c r="AB15" s="55">
        <v>5287.6799999999994</v>
      </c>
      <c r="AC15" s="6" t="s">
        <v>152</v>
      </c>
      <c r="AD15" s="7" t="s">
        <v>388</v>
      </c>
    </row>
    <row r="16" spans="1:30">
      <c r="A16" s="56" t="s">
        <v>389</v>
      </c>
      <c r="B16" s="84">
        <v>49500</v>
      </c>
      <c r="C16" s="84">
        <v>49500</v>
      </c>
      <c r="D16" s="84">
        <v>49500</v>
      </c>
      <c r="E16" s="84">
        <v>49500</v>
      </c>
      <c r="F16" s="84">
        <v>49500</v>
      </c>
      <c r="G16" s="84">
        <v>49500</v>
      </c>
      <c r="H16" s="84">
        <v>49500</v>
      </c>
      <c r="I16" s="84">
        <v>49500</v>
      </c>
      <c r="J16" s="84">
        <v>49500</v>
      </c>
      <c r="K16" s="57">
        <v>49500</v>
      </c>
      <c r="L16" s="57">
        <v>49500</v>
      </c>
      <c r="M16" s="57">
        <v>49500</v>
      </c>
      <c r="N16" s="57">
        <v>50391</v>
      </c>
      <c r="O16" s="57">
        <v>50391</v>
      </c>
      <c r="P16" s="57">
        <v>50391</v>
      </c>
      <c r="Q16" s="57">
        <v>50391</v>
      </c>
      <c r="R16" s="57">
        <v>50391</v>
      </c>
      <c r="S16" s="57">
        <v>50391</v>
      </c>
      <c r="T16" s="57">
        <v>50391</v>
      </c>
      <c r="U16" s="57">
        <v>50391</v>
      </c>
      <c r="V16" s="57">
        <v>50391</v>
      </c>
      <c r="W16" s="57">
        <v>50391</v>
      </c>
      <c r="X16" s="57">
        <v>50391</v>
      </c>
      <c r="Y16" s="57">
        <v>50391</v>
      </c>
      <c r="Z16" s="57">
        <v>51282</v>
      </c>
      <c r="AA16" s="57">
        <v>51282</v>
      </c>
      <c r="AB16" s="57">
        <v>51282</v>
      </c>
      <c r="AC16" s="35" t="s">
        <v>168</v>
      </c>
      <c r="AD16" s="37" t="s">
        <v>390</v>
      </c>
    </row>
    <row r="17" spans="1:30">
      <c r="A17" s="58" t="s">
        <v>177</v>
      </c>
      <c r="B17" s="26">
        <v>29750</v>
      </c>
      <c r="C17" s="26">
        <v>30800</v>
      </c>
      <c r="D17" s="26">
        <v>33250</v>
      </c>
      <c r="E17" s="26">
        <v>25116</v>
      </c>
      <c r="F17" s="26">
        <v>26754</v>
      </c>
      <c r="G17" s="26">
        <v>32340</v>
      </c>
      <c r="H17" s="26">
        <v>38500</v>
      </c>
      <c r="I17" s="26">
        <v>39200.000000000007</v>
      </c>
      <c r="J17" s="26">
        <v>37800</v>
      </c>
      <c r="K17" s="59">
        <v>35000</v>
      </c>
      <c r="L17" s="59">
        <v>32200</v>
      </c>
      <c r="M17" s="59">
        <v>29750</v>
      </c>
      <c r="N17" s="59">
        <v>32130</v>
      </c>
      <c r="O17" s="59">
        <v>33264</v>
      </c>
      <c r="P17" s="59">
        <v>35910</v>
      </c>
      <c r="Q17" s="59">
        <v>34776</v>
      </c>
      <c r="R17" s="59">
        <v>37044</v>
      </c>
      <c r="S17" s="59">
        <v>39690</v>
      </c>
      <c r="T17" s="59">
        <v>41580</v>
      </c>
      <c r="U17" s="59">
        <v>42336.000000000007</v>
      </c>
      <c r="V17" s="59">
        <v>40824</v>
      </c>
      <c r="W17" s="59">
        <v>37800</v>
      </c>
      <c r="X17" s="59">
        <v>34776</v>
      </c>
      <c r="Y17" s="59">
        <v>32130</v>
      </c>
      <c r="Z17" s="59">
        <v>34510</v>
      </c>
      <c r="AA17" s="59">
        <v>35728</v>
      </c>
      <c r="AB17" s="59">
        <v>38570</v>
      </c>
      <c r="AC17" s="8" t="s">
        <v>152</v>
      </c>
      <c r="AD17" s="9" t="s">
        <v>388</v>
      </c>
    </row>
    <row r="18" spans="1:30">
      <c r="A18" s="56" t="s">
        <v>391</v>
      </c>
      <c r="B18" s="84">
        <v>5100</v>
      </c>
      <c r="C18" s="84">
        <v>5100</v>
      </c>
      <c r="D18" s="84">
        <v>5100</v>
      </c>
      <c r="E18" s="84">
        <v>5100</v>
      </c>
      <c r="F18" s="84">
        <v>5100</v>
      </c>
      <c r="G18" s="84">
        <v>5100</v>
      </c>
      <c r="H18" s="84">
        <v>5100</v>
      </c>
      <c r="I18" s="84">
        <v>5100</v>
      </c>
      <c r="J18" s="84">
        <v>5100</v>
      </c>
      <c r="K18" s="57">
        <v>5100</v>
      </c>
      <c r="L18" s="57">
        <v>5100</v>
      </c>
      <c r="M18" s="57">
        <v>5100</v>
      </c>
      <c r="N18" s="57">
        <v>5202</v>
      </c>
      <c r="O18" s="57">
        <v>5202</v>
      </c>
      <c r="P18" s="57">
        <v>5202</v>
      </c>
      <c r="Q18" s="57">
        <v>5202</v>
      </c>
      <c r="R18" s="57">
        <v>5202</v>
      </c>
      <c r="S18" s="57">
        <v>5202</v>
      </c>
      <c r="T18" s="57">
        <v>5202</v>
      </c>
      <c r="U18" s="57">
        <v>5202</v>
      </c>
      <c r="V18" s="57">
        <v>5202</v>
      </c>
      <c r="W18" s="57">
        <v>5202</v>
      </c>
      <c r="X18" s="57">
        <v>5202</v>
      </c>
      <c r="Y18" s="57">
        <v>5202</v>
      </c>
      <c r="Z18" s="57">
        <v>5304</v>
      </c>
      <c r="AA18" s="57">
        <v>5304</v>
      </c>
      <c r="AB18" s="57">
        <v>5304</v>
      </c>
      <c r="AC18" s="35" t="s">
        <v>168</v>
      </c>
      <c r="AD18" s="37" t="s">
        <v>390</v>
      </c>
    </row>
    <row r="19" spans="1:30">
      <c r="A19" s="58" t="s">
        <v>194</v>
      </c>
      <c r="B19" s="26">
        <v>1144</v>
      </c>
      <c r="C19" s="26">
        <v>1170</v>
      </c>
      <c r="D19" s="26">
        <v>1235</v>
      </c>
      <c r="E19" s="26">
        <v>932.88</v>
      </c>
      <c r="F19" s="26">
        <v>993.72</v>
      </c>
      <c r="G19" s="26">
        <v>1144</v>
      </c>
      <c r="H19" s="26">
        <v>1339</v>
      </c>
      <c r="I19" s="26">
        <v>1365</v>
      </c>
      <c r="J19" s="26">
        <v>1404</v>
      </c>
      <c r="K19" s="59">
        <v>1430.0000000000002</v>
      </c>
      <c r="L19" s="59">
        <v>1378</v>
      </c>
      <c r="M19" s="59">
        <v>1300</v>
      </c>
      <c r="N19" s="59">
        <v>1258.4000000000003</v>
      </c>
      <c r="O19" s="59">
        <v>1287.0000000000002</v>
      </c>
      <c r="P19" s="59">
        <v>1358.5000000000002</v>
      </c>
      <c r="Q19" s="59">
        <v>1315.6000000000004</v>
      </c>
      <c r="R19" s="59">
        <v>1401.4</v>
      </c>
      <c r="S19" s="59">
        <v>1430.0000000000002</v>
      </c>
      <c r="T19" s="59">
        <v>1472.9000000000003</v>
      </c>
      <c r="U19" s="59">
        <v>1501.5000000000002</v>
      </c>
      <c r="V19" s="59">
        <v>1544.4000000000003</v>
      </c>
      <c r="W19" s="59">
        <v>1573.0000000000005</v>
      </c>
      <c r="X19" s="59">
        <v>1515.8000000000004</v>
      </c>
      <c r="Y19" s="59">
        <v>1430.0000000000002</v>
      </c>
      <c r="Z19" s="59">
        <v>1372.8</v>
      </c>
      <c r="AA19" s="59">
        <v>1404</v>
      </c>
      <c r="AB19" s="59">
        <v>1482</v>
      </c>
      <c r="AC19" s="8" t="s">
        <v>197</v>
      </c>
      <c r="AD19" s="9" t="s">
        <v>392</v>
      </c>
    </row>
    <row r="20" spans="1:30">
      <c r="A20" s="56" t="s">
        <v>393</v>
      </c>
      <c r="B20" s="84">
        <v>70000</v>
      </c>
      <c r="C20" s="84">
        <v>70000</v>
      </c>
      <c r="D20" s="84">
        <v>70000</v>
      </c>
      <c r="E20" s="84">
        <v>70000</v>
      </c>
      <c r="F20" s="84">
        <v>70000</v>
      </c>
      <c r="G20" s="84">
        <v>70000</v>
      </c>
      <c r="H20" s="84">
        <v>70000</v>
      </c>
      <c r="I20" s="84">
        <v>70000</v>
      </c>
      <c r="J20" s="84">
        <v>70000</v>
      </c>
      <c r="K20" s="57">
        <v>70000</v>
      </c>
      <c r="L20" s="57">
        <v>70000</v>
      </c>
      <c r="M20" s="57">
        <v>70000</v>
      </c>
      <c r="N20" s="57">
        <v>71400</v>
      </c>
      <c r="O20" s="57">
        <v>71400</v>
      </c>
      <c r="P20" s="57">
        <v>71400</v>
      </c>
      <c r="Q20" s="57">
        <v>71400</v>
      </c>
      <c r="R20" s="57">
        <v>71400</v>
      </c>
      <c r="S20" s="57">
        <v>71400</v>
      </c>
      <c r="T20" s="57">
        <v>71400</v>
      </c>
      <c r="U20" s="57">
        <v>71400</v>
      </c>
      <c r="V20" s="57">
        <v>71400</v>
      </c>
      <c r="W20" s="57">
        <v>71400</v>
      </c>
      <c r="X20" s="57">
        <v>71400</v>
      </c>
      <c r="Y20" s="57">
        <v>71400</v>
      </c>
      <c r="Z20" s="57">
        <v>72800</v>
      </c>
      <c r="AA20" s="57">
        <v>72800</v>
      </c>
      <c r="AB20" s="57">
        <v>72800</v>
      </c>
      <c r="AC20" s="35" t="s">
        <v>394</v>
      </c>
      <c r="AD20" s="37" t="s">
        <v>395</v>
      </c>
    </row>
    <row r="21" spans="1:30">
      <c r="A21" s="58" t="s">
        <v>206</v>
      </c>
      <c r="B21" s="26">
        <v>216504.99999999997</v>
      </c>
      <c r="C21" s="26">
        <v>218020.53499999995</v>
      </c>
      <c r="D21" s="26">
        <v>219546.67874499992</v>
      </c>
      <c r="E21" s="26">
        <v>221083.5054962149</v>
      </c>
      <c r="F21" s="26">
        <v>222631.09003468839</v>
      </c>
      <c r="G21" s="26">
        <v>224189.50766493118</v>
      </c>
      <c r="H21" s="26">
        <v>225758.83421858569</v>
      </c>
      <c r="I21" s="26">
        <v>227339.14605811576</v>
      </c>
      <c r="J21" s="26">
        <v>228930.52008052255</v>
      </c>
      <c r="K21" s="59">
        <v>230533.03372108619</v>
      </c>
      <c r="L21" s="59">
        <v>232146.76495713377</v>
      </c>
      <c r="M21" s="59">
        <v>233771.79231183368</v>
      </c>
      <c r="N21" s="59">
        <v>235875.73844264017</v>
      </c>
      <c r="O21" s="59">
        <v>237998.62008862389</v>
      </c>
      <c r="P21" s="59">
        <v>240140.60766942147</v>
      </c>
      <c r="Q21" s="59">
        <v>242301.87313844624</v>
      </c>
      <c r="R21" s="59">
        <v>244482.58999669223</v>
      </c>
      <c r="S21" s="59">
        <v>246682.93330666242</v>
      </c>
      <c r="T21" s="59">
        <v>248903.07970642237</v>
      </c>
      <c r="U21" s="59">
        <v>251143.20742378014</v>
      </c>
      <c r="V21" s="59">
        <v>253403.49629059414</v>
      </c>
      <c r="W21" s="59">
        <v>255684.12775720947</v>
      </c>
      <c r="X21" s="59">
        <v>257985.28490702432</v>
      </c>
      <c r="Y21" s="59">
        <v>260307.15247118752</v>
      </c>
      <c r="Z21" s="59">
        <v>262649.91684342816</v>
      </c>
      <c r="AA21" s="59">
        <v>265013.766095019</v>
      </c>
      <c r="AB21" s="59">
        <v>267398.88998987415</v>
      </c>
      <c r="AC21" s="8" t="s">
        <v>209</v>
      </c>
      <c r="AD21" s="9" t="s">
        <v>396</v>
      </c>
    </row>
    <row r="22" spans="1:30">
      <c r="A22" s="56" t="s">
        <v>397</v>
      </c>
      <c r="B22" s="84">
        <v>82</v>
      </c>
      <c r="C22" s="84">
        <v>82</v>
      </c>
      <c r="D22" s="84">
        <v>82</v>
      </c>
      <c r="E22" s="84">
        <v>82</v>
      </c>
      <c r="F22" s="84">
        <v>82</v>
      </c>
      <c r="G22" s="84">
        <v>82</v>
      </c>
      <c r="H22" s="84">
        <v>82</v>
      </c>
      <c r="I22" s="84">
        <v>82</v>
      </c>
      <c r="J22" s="84">
        <v>82</v>
      </c>
      <c r="K22" s="57">
        <v>82</v>
      </c>
      <c r="L22" s="57">
        <v>82</v>
      </c>
      <c r="M22" s="57">
        <v>82</v>
      </c>
      <c r="N22" s="57">
        <v>83.64</v>
      </c>
      <c r="O22" s="57">
        <v>83.64</v>
      </c>
      <c r="P22" s="57">
        <v>83.64</v>
      </c>
      <c r="Q22" s="57">
        <v>83.64</v>
      </c>
      <c r="R22" s="57">
        <v>83.64</v>
      </c>
      <c r="S22" s="57">
        <v>83.64</v>
      </c>
      <c r="T22" s="57">
        <v>83.64</v>
      </c>
      <c r="U22" s="57">
        <v>83.64</v>
      </c>
      <c r="V22" s="57">
        <v>83.64</v>
      </c>
      <c r="W22" s="57">
        <v>83.64</v>
      </c>
      <c r="X22" s="57">
        <v>83.64</v>
      </c>
      <c r="Y22" s="57">
        <v>83.64</v>
      </c>
      <c r="Z22" s="57">
        <v>85.28</v>
      </c>
      <c r="AA22" s="57">
        <v>85.28</v>
      </c>
      <c r="AB22" s="57">
        <v>85.28</v>
      </c>
      <c r="AC22" s="35" t="s">
        <v>398</v>
      </c>
      <c r="AD22" s="37" t="s">
        <v>399</v>
      </c>
    </row>
    <row r="23" spans="1:30">
      <c r="A23" s="58" t="s">
        <v>400</v>
      </c>
      <c r="B23" s="26">
        <v>5200</v>
      </c>
      <c r="C23" s="26">
        <v>5200</v>
      </c>
      <c r="D23" s="26">
        <v>5200</v>
      </c>
      <c r="E23" s="26">
        <v>5200</v>
      </c>
      <c r="F23" s="26">
        <v>5200</v>
      </c>
      <c r="G23" s="26">
        <v>5200</v>
      </c>
      <c r="H23" s="26">
        <v>5200</v>
      </c>
      <c r="I23" s="26">
        <v>5200</v>
      </c>
      <c r="J23" s="26">
        <v>5200</v>
      </c>
      <c r="K23" s="59">
        <v>5200</v>
      </c>
      <c r="L23" s="59">
        <v>5200</v>
      </c>
      <c r="M23" s="59">
        <v>5200</v>
      </c>
      <c r="N23" s="59">
        <v>5382</v>
      </c>
      <c r="O23" s="59">
        <v>5382</v>
      </c>
      <c r="P23" s="59">
        <v>5382</v>
      </c>
      <c r="Q23" s="59">
        <v>5382</v>
      </c>
      <c r="R23" s="59">
        <v>5382</v>
      </c>
      <c r="S23" s="59">
        <v>5382</v>
      </c>
      <c r="T23" s="59">
        <v>5382</v>
      </c>
      <c r="U23" s="59">
        <v>5382</v>
      </c>
      <c r="V23" s="59">
        <v>5382</v>
      </c>
      <c r="W23" s="59">
        <v>5382</v>
      </c>
      <c r="X23" s="59">
        <v>5382</v>
      </c>
      <c r="Y23" s="59">
        <v>5382</v>
      </c>
      <c r="Z23" s="59">
        <v>5564</v>
      </c>
      <c r="AA23" s="59">
        <v>5564</v>
      </c>
      <c r="AB23" s="59">
        <v>5564</v>
      </c>
      <c r="AC23" s="8" t="s">
        <v>274</v>
      </c>
      <c r="AD23" s="9" t="s">
        <v>401</v>
      </c>
    </row>
    <row r="24" spans="1:30">
      <c r="A24" s="56" t="s">
        <v>402</v>
      </c>
      <c r="B24" s="85">
        <v>150</v>
      </c>
      <c r="C24" s="85">
        <v>150</v>
      </c>
      <c r="D24" s="85">
        <v>150</v>
      </c>
      <c r="E24" s="85">
        <v>150</v>
      </c>
      <c r="F24" s="85">
        <v>150</v>
      </c>
      <c r="G24" s="85">
        <v>150</v>
      </c>
      <c r="H24" s="85">
        <v>150</v>
      </c>
      <c r="I24" s="85">
        <v>150</v>
      </c>
      <c r="J24" s="85">
        <v>150</v>
      </c>
      <c r="K24" s="59">
        <v>150</v>
      </c>
      <c r="L24" s="59">
        <v>150</v>
      </c>
      <c r="M24" s="59">
        <v>150</v>
      </c>
      <c r="N24" s="59">
        <v>150</v>
      </c>
      <c r="O24" s="59">
        <v>150</v>
      </c>
      <c r="P24" s="59">
        <v>150</v>
      </c>
      <c r="Q24" s="59">
        <v>150</v>
      </c>
      <c r="R24" s="59">
        <v>150</v>
      </c>
      <c r="S24" s="59">
        <v>150</v>
      </c>
      <c r="T24" s="59">
        <v>150</v>
      </c>
      <c r="U24" s="59">
        <v>150</v>
      </c>
      <c r="V24" s="59">
        <v>150</v>
      </c>
      <c r="W24" s="59">
        <v>150</v>
      </c>
      <c r="X24" s="59">
        <v>150</v>
      </c>
      <c r="Y24" s="59">
        <v>150</v>
      </c>
      <c r="Z24" s="59">
        <v>150</v>
      </c>
      <c r="AA24" s="59">
        <v>150</v>
      </c>
      <c r="AB24" s="59">
        <v>150</v>
      </c>
      <c r="AC24" s="35" t="s">
        <v>403</v>
      </c>
      <c r="AD24" s="37" t="s">
        <v>404</v>
      </c>
    </row>
    <row r="25" spans="1:30">
      <c r="A25" s="58" t="s">
        <v>101</v>
      </c>
      <c r="B25" s="20">
        <v>0.77</v>
      </c>
      <c r="C25" s="20">
        <v>0.77</v>
      </c>
      <c r="D25" s="20">
        <v>0.77</v>
      </c>
      <c r="E25" s="20">
        <v>0.77</v>
      </c>
      <c r="F25" s="20">
        <v>0.77</v>
      </c>
      <c r="G25" s="20">
        <v>0.77</v>
      </c>
      <c r="H25" s="20">
        <v>0.77</v>
      </c>
      <c r="I25" s="20">
        <v>0.77</v>
      </c>
      <c r="J25" s="20">
        <v>0.77</v>
      </c>
      <c r="K25" s="61">
        <v>0.77</v>
      </c>
      <c r="L25" s="61">
        <v>0.77</v>
      </c>
      <c r="M25" s="61">
        <v>0.77</v>
      </c>
      <c r="N25" s="61">
        <v>0.78</v>
      </c>
      <c r="O25" s="61">
        <v>0.78</v>
      </c>
      <c r="P25" s="61">
        <v>0.78</v>
      </c>
      <c r="Q25" s="61">
        <v>0.78</v>
      </c>
      <c r="R25" s="61">
        <v>0.78</v>
      </c>
      <c r="S25" s="61">
        <v>0.78</v>
      </c>
      <c r="T25" s="61">
        <v>0.78</v>
      </c>
      <c r="U25" s="61">
        <v>0.78</v>
      </c>
      <c r="V25" s="61">
        <v>0.78</v>
      </c>
      <c r="W25" s="61">
        <v>0.78</v>
      </c>
      <c r="X25" s="61">
        <v>0.78</v>
      </c>
      <c r="Y25" s="61">
        <v>0.78</v>
      </c>
      <c r="Z25" s="61">
        <v>0.79</v>
      </c>
      <c r="AA25" s="61">
        <v>0.79</v>
      </c>
      <c r="AB25" s="61">
        <v>0.79</v>
      </c>
      <c r="AC25" s="8" t="s">
        <v>78</v>
      </c>
      <c r="AD25" s="9" t="s">
        <v>405</v>
      </c>
    </row>
    <row r="26" spans="1:30">
      <c r="A26" s="56" t="s">
        <v>227</v>
      </c>
      <c r="B26" s="84">
        <v>150</v>
      </c>
      <c r="C26" s="84">
        <v>150</v>
      </c>
      <c r="D26" s="84">
        <v>150</v>
      </c>
      <c r="E26" s="84">
        <v>150</v>
      </c>
      <c r="F26" s="84">
        <v>150</v>
      </c>
      <c r="G26" s="84">
        <v>150</v>
      </c>
      <c r="H26" s="84">
        <v>150</v>
      </c>
      <c r="I26" s="84">
        <v>150</v>
      </c>
      <c r="J26" s="84">
        <v>150</v>
      </c>
      <c r="K26" s="57">
        <v>150</v>
      </c>
      <c r="L26" s="57">
        <v>150</v>
      </c>
      <c r="M26" s="57">
        <v>150</v>
      </c>
      <c r="N26" s="57">
        <v>153</v>
      </c>
      <c r="O26" s="57">
        <v>153</v>
      </c>
      <c r="P26" s="57">
        <v>153</v>
      </c>
      <c r="Q26" s="57">
        <v>153</v>
      </c>
      <c r="R26" s="57">
        <v>153</v>
      </c>
      <c r="S26" s="57">
        <v>153</v>
      </c>
      <c r="T26" s="57">
        <v>153</v>
      </c>
      <c r="U26" s="57">
        <v>153</v>
      </c>
      <c r="V26" s="57">
        <v>153</v>
      </c>
      <c r="W26" s="57">
        <v>153</v>
      </c>
      <c r="X26" s="57">
        <v>153</v>
      </c>
      <c r="Y26" s="57">
        <v>153</v>
      </c>
      <c r="Z26" s="57">
        <v>156</v>
      </c>
      <c r="AA26" s="57">
        <v>156</v>
      </c>
      <c r="AB26" s="57">
        <v>156</v>
      </c>
      <c r="AC26" s="35" t="s">
        <v>230</v>
      </c>
      <c r="AD26" s="37" t="s">
        <v>406</v>
      </c>
    </row>
    <row r="27" spans="1:30">
      <c r="A27" s="58" t="s">
        <v>407</v>
      </c>
      <c r="B27" s="68">
        <v>57.04</v>
      </c>
      <c r="C27" s="68">
        <v>58.279999999999994</v>
      </c>
      <c r="D27" s="68">
        <v>59.519999999999996</v>
      </c>
      <c r="E27" s="68">
        <v>47.392800000000001</v>
      </c>
      <c r="F27" s="68">
        <v>48.36</v>
      </c>
      <c r="G27" s="68">
        <v>56.196800000000003</v>
      </c>
      <c r="H27" s="68">
        <v>65.100000000000009</v>
      </c>
      <c r="I27" s="68">
        <v>65.72</v>
      </c>
      <c r="J27" s="68">
        <v>64.48</v>
      </c>
      <c r="K27" s="60">
        <v>63.24</v>
      </c>
      <c r="L27" s="60">
        <v>62</v>
      </c>
      <c r="M27" s="60">
        <v>58.9</v>
      </c>
      <c r="N27" s="60">
        <v>59.89200000000001</v>
      </c>
      <c r="O27" s="60">
        <v>61.194000000000003</v>
      </c>
      <c r="P27" s="60">
        <v>62.496000000000009</v>
      </c>
      <c r="Q27" s="60">
        <v>63.798000000000009</v>
      </c>
      <c r="R27" s="60">
        <v>65.100000000000009</v>
      </c>
      <c r="S27" s="60">
        <v>67.053000000000011</v>
      </c>
      <c r="T27" s="60">
        <v>68.355000000000018</v>
      </c>
      <c r="U27" s="60">
        <v>69.006000000000014</v>
      </c>
      <c r="V27" s="60">
        <v>67.704000000000008</v>
      </c>
      <c r="W27" s="60">
        <v>66.402000000000015</v>
      </c>
      <c r="X27" s="60">
        <v>65.100000000000009</v>
      </c>
      <c r="Y27" s="60">
        <v>61.845000000000006</v>
      </c>
      <c r="Z27" s="60">
        <v>62.744000000000007</v>
      </c>
      <c r="AA27" s="60">
        <v>64.108000000000004</v>
      </c>
      <c r="AB27" s="60">
        <v>65.471999999999994</v>
      </c>
      <c r="AC27" s="8" t="s">
        <v>408</v>
      </c>
      <c r="AD27" s="9" t="s">
        <v>409</v>
      </c>
    </row>
    <row r="28" spans="1:30">
      <c r="A28" s="56" t="s">
        <v>104</v>
      </c>
      <c r="B28" s="86">
        <v>100</v>
      </c>
      <c r="C28" s="86">
        <v>100.35</v>
      </c>
      <c r="D28" s="86">
        <v>100.7</v>
      </c>
      <c r="E28" s="86">
        <v>101.05</v>
      </c>
      <c r="F28" s="86">
        <v>101.4</v>
      </c>
      <c r="G28" s="86">
        <v>101.75</v>
      </c>
      <c r="H28" s="86">
        <v>102.1</v>
      </c>
      <c r="I28" s="86">
        <v>102.45</v>
      </c>
      <c r="J28" s="86">
        <v>102.8</v>
      </c>
      <c r="K28" s="62">
        <v>103.15</v>
      </c>
      <c r="L28" s="62">
        <v>103.5</v>
      </c>
      <c r="M28" s="62">
        <v>103.85</v>
      </c>
      <c r="N28" s="62">
        <v>110.2</v>
      </c>
      <c r="O28" s="62">
        <v>110.55</v>
      </c>
      <c r="P28" s="62">
        <v>110.9</v>
      </c>
      <c r="Q28" s="62">
        <v>111.25</v>
      </c>
      <c r="R28" s="62">
        <v>111.6</v>
      </c>
      <c r="S28" s="62">
        <v>111.95</v>
      </c>
      <c r="T28" s="62">
        <v>112.3</v>
      </c>
      <c r="U28" s="62">
        <v>112.65</v>
      </c>
      <c r="V28" s="62">
        <v>113</v>
      </c>
      <c r="W28" s="62">
        <v>113.35</v>
      </c>
      <c r="X28" s="62">
        <v>113.7</v>
      </c>
      <c r="Y28" s="62">
        <v>114.05</v>
      </c>
      <c r="Z28" s="62">
        <v>116.4</v>
      </c>
      <c r="AA28" s="62">
        <v>116.75</v>
      </c>
      <c r="AB28" s="62">
        <v>117.1</v>
      </c>
      <c r="AC28" s="35" t="s">
        <v>105</v>
      </c>
      <c r="AD28" s="37" t="s">
        <v>410</v>
      </c>
    </row>
    <row r="29" spans="1:30" ht="23">
      <c r="A29" s="58" t="s">
        <v>107</v>
      </c>
      <c r="B29" s="87">
        <v>100</v>
      </c>
      <c r="C29" s="87">
        <v>100.25</v>
      </c>
      <c r="D29" s="87">
        <v>100.5</v>
      </c>
      <c r="E29" s="87">
        <v>100.75</v>
      </c>
      <c r="F29" s="87">
        <v>101</v>
      </c>
      <c r="G29" s="87">
        <v>101.25</v>
      </c>
      <c r="H29" s="87">
        <v>101.5</v>
      </c>
      <c r="I29" s="87">
        <v>101.75</v>
      </c>
      <c r="J29" s="87">
        <v>102</v>
      </c>
      <c r="K29" s="62">
        <v>102.25</v>
      </c>
      <c r="L29" s="62">
        <v>102.5</v>
      </c>
      <c r="M29" s="62">
        <v>102.75</v>
      </c>
      <c r="N29" s="62">
        <v>103</v>
      </c>
      <c r="O29" s="62">
        <v>103.25</v>
      </c>
      <c r="P29" s="62">
        <v>103.5</v>
      </c>
      <c r="Q29" s="62">
        <v>103.75</v>
      </c>
      <c r="R29" s="62">
        <v>104</v>
      </c>
      <c r="S29" s="62">
        <v>104.25</v>
      </c>
      <c r="T29" s="62">
        <v>104.5</v>
      </c>
      <c r="U29" s="62">
        <v>104.75</v>
      </c>
      <c r="V29" s="62">
        <v>105</v>
      </c>
      <c r="W29" s="62">
        <v>105.25</v>
      </c>
      <c r="X29" s="62">
        <v>105.5</v>
      </c>
      <c r="Y29" s="62">
        <v>105.75</v>
      </c>
      <c r="Z29" s="62">
        <v>106</v>
      </c>
      <c r="AA29" s="62">
        <v>106.25</v>
      </c>
      <c r="AB29" s="62">
        <v>106.5</v>
      </c>
      <c r="AC29" s="8" t="s">
        <v>105</v>
      </c>
      <c r="AD29" s="9" t="s">
        <v>411</v>
      </c>
    </row>
    <row r="30" spans="1:30" ht="23">
      <c r="A30" s="56" t="s">
        <v>412</v>
      </c>
      <c r="B30" s="69">
        <v>0.41499999999999998</v>
      </c>
      <c r="C30" s="69">
        <v>0.41499999999999998</v>
      </c>
      <c r="D30" s="69">
        <v>0.41499999999999998</v>
      </c>
      <c r="E30" s="69">
        <v>0.41499999999999998</v>
      </c>
      <c r="F30" s="69">
        <v>0.41499999999999998</v>
      </c>
      <c r="G30" s="69">
        <v>0.41499999999999998</v>
      </c>
      <c r="H30" s="69">
        <v>0.41499999999999998</v>
      </c>
      <c r="I30" s="69">
        <v>0.41499999999999998</v>
      </c>
      <c r="J30" s="69">
        <v>0.41499999999999998</v>
      </c>
      <c r="K30" s="61">
        <v>0.41499999999999998</v>
      </c>
      <c r="L30" s="61">
        <v>0.41499999999999998</v>
      </c>
      <c r="M30" s="61">
        <v>0.41499999999999998</v>
      </c>
      <c r="N30" s="61">
        <v>0.41499999999999998</v>
      </c>
      <c r="O30" s="61">
        <v>0.41499999999999998</v>
      </c>
      <c r="P30" s="61">
        <v>0.41499999999999998</v>
      </c>
      <c r="Q30" s="61">
        <v>0.41499999999999998</v>
      </c>
      <c r="R30" s="61">
        <v>0.41499999999999998</v>
      </c>
      <c r="S30" s="61">
        <v>0.41499999999999998</v>
      </c>
      <c r="T30" s="61">
        <v>0.41499999999999998</v>
      </c>
      <c r="U30" s="61">
        <v>0.41499999999999998</v>
      </c>
      <c r="V30" s="61">
        <v>0.41499999999999998</v>
      </c>
      <c r="W30" s="61">
        <v>0.41499999999999998</v>
      </c>
      <c r="X30" s="61">
        <v>0.41499999999999998</v>
      </c>
      <c r="Y30" s="61">
        <v>0.41499999999999998</v>
      </c>
      <c r="Z30" s="61">
        <v>0.41499999999999998</v>
      </c>
      <c r="AA30" s="61">
        <v>0.41499999999999998</v>
      </c>
      <c r="AB30" s="61">
        <v>0.41499999999999998</v>
      </c>
      <c r="AC30" s="35" t="s">
        <v>413</v>
      </c>
      <c r="AD30" s="37" t="s">
        <v>414</v>
      </c>
    </row>
    <row r="31" spans="1:30">
      <c r="A31" s="58" t="s">
        <v>415</v>
      </c>
      <c r="B31" s="20">
        <v>0.14499999999999999</v>
      </c>
      <c r="C31" s="20">
        <v>0.14499999999999999</v>
      </c>
      <c r="D31" s="20">
        <v>0.14499999999999999</v>
      </c>
      <c r="E31" s="20">
        <v>0.14499999999999999</v>
      </c>
      <c r="F31" s="20">
        <v>0.14499999999999999</v>
      </c>
      <c r="G31" s="20">
        <v>0.14499999999999999</v>
      </c>
      <c r="H31" s="20">
        <v>0.14499999999999999</v>
      </c>
      <c r="I31" s="20">
        <v>0.14499999999999999</v>
      </c>
      <c r="J31" s="20">
        <v>0.14499999999999999</v>
      </c>
      <c r="K31" s="61">
        <v>0.14499999999999999</v>
      </c>
      <c r="L31" s="61">
        <v>0.14499999999999999</v>
      </c>
      <c r="M31" s="61">
        <v>0.14499999999999999</v>
      </c>
      <c r="N31" s="61">
        <v>0.14499999999999999</v>
      </c>
      <c r="O31" s="61">
        <v>0.14499999999999999</v>
      </c>
      <c r="P31" s="61">
        <v>0.14499999999999999</v>
      </c>
      <c r="Q31" s="61">
        <v>0.14499999999999999</v>
      </c>
      <c r="R31" s="61">
        <v>0.14499999999999999</v>
      </c>
      <c r="S31" s="61">
        <v>0.14499999999999999</v>
      </c>
      <c r="T31" s="61">
        <v>0.14499999999999999</v>
      </c>
      <c r="U31" s="61">
        <v>0.14499999999999999</v>
      </c>
      <c r="V31" s="61">
        <v>0.14499999999999999</v>
      </c>
      <c r="W31" s="61">
        <v>0.14499999999999999</v>
      </c>
      <c r="X31" s="61">
        <v>0.14499999999999999</v>
      </c>
      <c r="Y31" s="61">
        <v>0.14499999999999999</v>
      </c>
      <c r="Z31" s="61">
        <v>0.14499999999999999</v>
      </c>
      <c r="AA31" s="61">
        <v>0.14499999999999999</v>
      </c>
      <c r="AB31" s="61">
        <v>0.14499999999999999</v>
      </c>
      <c r="AC31" s="8" t="s">
        <v>413</v>
      </c>
      <c r="AD31" s="9" t="s">
        <v>416</v>
      </c>
    </row>
    <row r="32" spans="1:30">
      <c r="A32" s="56" t="s">
        <v>260</v>
      </c>
      <c r="B32" s="69">
        <v>5.1999999999999998E-2</v>
      </c>
      <c r="C32" s="69">
        <v>5.1999999999999998E-2</v>
      </c>
      <c r="D32" s="69">
        <v>5.1999999999999998E-2</v>
      </c>
      <c r="E32" s="69">
        <v>5.1999999999999998E-2</v>
      </c>
      <c r="F32" s="69">
        <v>5.1999999999999998E-2</v>
      </c>
      <c r="G32" s="69">
        <v>5.1999999999999998E-2</v>
      </c>
      <c r="H32" s="69">
        <v>5.1999999999999998E-2</v>
      </c>
      <c r="I32" s="69">
        <v>5.1999999999999998E-2</v>
      </c>
      <c r="J32" s="69">
        <v>5.1999999999999998E-2</v>
      </c>
      <c r="K32" s="61">
        <v>5.1999999999999998E-2</v>
      </c>
      <c r="L32" s="61">
        <v>5.1999999999999998E-2</v>
      </c>
      <c r="M32" s="61">
        <v>5.1999999999999998E-2</v>
      </c>
      <c r="N32" s="61">
        <v>5.1999999999999998E-2</v>
      </c>
      <c r="O32" s="61">
        <v>5.1999999999999998E-2</v>
      </c>
      <c r="P32" s="61">
        <v>5.1999999999999998E-2</v>
      </c>
      <c r="Q32" s="61">
        <v>5.1999999999999998E-2</v>
      </c>
      <c r="R32" s="61">
        <v>5.1999999999999998E-2</v>
      </c>
      <c r="S32" s="61">
        <v>5.1999999999999998E-2</v>
      </c>
      <c r="T32" s="61">
        <v>5.1999999999999998E-2</v>
      </c>
      <c r="U32" s="61">
        <v>5.1999999999999998E-2</v>
      </c>
      <c r="V32" s="61">
        <v>5.1999999999999998E-2</v>
      </c>
      <c r="W32" s="61">
        <v>5.1999999999999998E-2</v>
      </c>
      <c r="X32" s="61">
        <v>5.1999999999999998E-2</v>
      </c>
      <c r="Y32" s="61">
        <v>5.1999999999999998E-2</v>
      </c>
      <c r="Z32" s="61">
        <v>5.1999999999999998E-2</v>
      </c>
      <c r="AA32" s="61">
        <v>5.1999999999999998E-2</v>
      </c>
      <c r="AB32" s="61">
        <v>5.1999999999999998E-2</v>
      </c>
      <c r="AC32" s="35" t="s">
        <v>413</v>
      </c>
      <c r="AD32" s="37" t="s">
        <v>417</v>
      </c>
    </row>
    <row r="33" spans="1:30">
      <c r="A33" s="58" t="s">
        <v>271</v>
      </c>
      <c r="B33" s="26">
        <v>8800</v>
      </c>
      <c r="C33" s="26">
        <v>8800</v>
      </c>
      <c r="D33" s="26">
        <v>8800</v>
      </c>
      <c r="E33" s="26">
        <v>8800</v>
      </c>
      <c r="F33" s="26">
        <v>8800</v>
      </c>
      <c r="G33" s="26">
        <v>8800</v>
      </c>
      <c r="H33" s="26">
        <v>8800</v>
      </c>
      <c r="I33" s="26">
        <v>8800</v>
      </c>
      <c r="J33" s="26">
        <v>8800</v>
      </c>
      <c r="K33" s="59">
        <v>8800</v>
      </c>
      <c r="L33" s="59">
        <v>8800</v>
      </c>
      <c r="M33" s="59">
        <v>8800</v>
      </c>
      <c r="N33" s="59">
        <v>8932</v>
      </c>
      <c r="O33" s="59">
        <v>8932</v>
      </c>
      <c r="P33" s="59">
        <v>8932</v>
      </c>
      <c r="Q33" s="59">
        <v>8932</v>
      </c>
      <c r="R33" s="59">
        <v>8932</v>
      </c>
      <c r="S33" s="59">
        <v>8932</v>
      </c>
      <c r="T33" s="59">
        <v>8932</v>
      </c>
      <c r="U33" s="59">
        <v>8932</v>
      </c>
      <c r="V33" s="59">
        <v>8932</v>
      </c>
      <c r="W33" s="59">
        <v>8932</v>
      </c>
      <c r="X33" s="59">
        <v>8932</v>
      </c>
      <c r="Y33" s="59">
        <v>8932</v>
      </c>
      <c r="Z33" s="59">
        <v>9064</v>
      </c>
      <c r="AA33" s="59">
        <v>9064</v>
      </c>
      <c r="AB33" s="59">
        <v>9064</v>
      </c>
      <c r="AC33" s="8" t="s">
        <v>274</v>
      </c>
      <c r="AD33" s="9" t="s">
        <v>418</v>
      </c>
    </row>
    <row r="34" spans="1:30">
      <c r="A34" s="56" t="s">
        <v>284</v>
      </c>
      <c r="B34" s="84">
        <v>97000</v>
      </c>
      <c r="C34" s="84">
        <v>97000</v>
      </c>
      <c r="D34" s="84">
        <v>97000</v>
      </c>
      <c r="E34" s="84">
        <v>97000</v>
      </c>
      <c r="F34" s="84">
        <v>97000</v>
      </c>
      <c r="G34" s="84">
        <v>97000</v>
      </c>
      <c r="H34" s="84">
        <v>97000</v>
      </c>
      <c r="I34" s="84">
        <v>97000</v>
      </c>
      <c r="J34" s="84">
        <v>97000</v>
      </c>
      <c r="K34" s="57">
        <v>97000</v>
      </c>
      <c r="L34" s="57">
        <v>97000</v>
      </c>
      <c r="M34" s="57">
        <v>97000</v>
      </c>
      <c r="N34" s="57">
        <v>99424.999999999985</v>
      </c>
      <c r="O34" s="57">
        <v>99424.999999999985</v>
      </c>
      <c r="P34" s="57">
        <v>99424.999999999985</v>
      </c>
      <c r="Q34" s="57">
        <v>99424.999999999985</v>
      </c>
      <c r="R34" s="57">
        <v>99424.999999999985</v>
      </c>
      <c r="S34" s="57">
        <v>99424.999999999985</v>
      </c>
      <c r="T34" s="57">
        <v>99424.999999999985</v>
      </c>
      <c r="U34" s="57">
        <v>99424.999999999985</v>
      </c>
      <c r="V34" s="57">
        <v>99424.999999999985</v>
      </c>
      <c r="W34" s="57">
        <v>99424.999999999985</v>
      </c>
      <c r="X34" s="57">
        <v>99424.999999999985</v>
      </c>
      <c r="Y34" s="57">
        <v>99424.999999999985</v>
      </c>
      <c r="Z34" s="57">
        <v>101850</v>
      </c>
      <c r="AA34" s="57">
        <v>101850</v>
      </c>
      <c r="AB34" s="57">
        <v>101850</v>
      </c>
      <c r="AC34" s="35" t="s">
        <v>287</v>
      </c>
      <c r="AD34" s="37" t="s">
        <v>419</v>
      </c>
    </row>
    <row r="35" spans="1:30">
      <c r="A35" s="58" t="s">
        <v>296</v>
      </c>
      <c r="B35" s="20">
        <v>4.4999999999999998E-2</v>
      </c>
      <c r="C35" s="20">
        <v>4.4999999999999998E-2</v>
      </c>
      <c r="D35" s="20">
        <v>4.4999999999999998E-2</v>
      </c>
      <c r="E35" s="20">
        <v>4.4999999999999998E-2</v>
      </c>
      <c r="F35" s="20">
        <v>4.4999999999999998E-2</v>
      </c>
      <c r="G35" s="20">
        <v>4.4999999999999998E-2</v>
      </c>
      <c r="H35" s="20">
        <v>4.4999999999999998E-2</v>
      </c>
      <c r="I35" s="20">
        <v>4.4999999999999998E-2</v>
      </c>
      <c r="J35" s="20">
        <v>4.4999999999999998E-2</v>
      </c>
      <c r="K35" s="61">
        <v>4.4999999999999998E-2</v>
      </c>
      <c r="L35" s="61">
        <v>4.4999999999999998E-2</v>
      </c>
      <c r="M35" s="61">
        <v>4.4999999999999998E-2</v>
      </c>
      <c r="N35" s="61">
        <v>4.4999999999999998E-2</v>
      </c>
      <c r="O35" s="61">
        <v>4.4999999999999998E-2</v>
      </c>
      <c r="P35" s="61">
        <v>4.4999999999999998E-2</v>
      </c>
      <c r="Q35" s="61">
        <v>4.4999999999999998E-2</v>
      </c>
      <c r="R35" s="61">
        <v>4.4999999999999998E-2</v>
      </c>
      <c r="S35" s="61">
        <v>4.4999999999999998E-2</v>
      </c>
      <c r="T35" s="61">
        <v>4.4999999999999998E-2</v>
      </c>
      <c r="U35" s="61">
        <v>4.4999999999999998E-2</v>
      </c>
      <c r="V35" s="61">
        <v>4.4999999999999998E-2</v>
      </c>
      <c r="W35" s="61">
        <v>4.4999999999999998E-2</v>
      </c>
      <c r="X35" s="61">
        <v>4.4999999999999998E-2</v>
      </c>
      <c r="Y35" s="61">
        <v>4.4999999999999998E-2</v>
      </c>
      <c r="Z35" s="61">
        <v>4.4999999999999998E-2</v>
      </c>
      <c r="AA35" s="61">
        <v>4.4999999999999998E-2</v>
      </c>
      <c r="AB35" s="61">
        <v>4.4999999999999998E-2</v>
      </c>
      <c r="AC35" s="8" t="s">
        <v>413</v>
      </c>
      <c r="AD35" s="9" t="s">
        <v>420</v>
      </c>
    </row>
    <row r="36" spans="1:30">
      <c r="A36" s="56" t="s">
        <v>305</v>
      </c>
      <c r="B36" s="69">
        <v>6.4000000000000001E-2</v>
      </c>
      <c r="C36" s="69">
        <v>6.4000000000000001E-2</v>
      </c>
      <c r="D36" s="69">
        <v>6.4000000000000001E-2</v>
      </c>
      <c r="E36" s="69">
        <v>6.4000000000000001E-2</v>
      </c>
      <c r="F36" s="69">
        <v>6.4000000000000001E-2</v>
      </c>
      <c r="G36" s="69">
        <v>6.4000000000000001E-2</v>
      </c>
      <c r="H36" s="69">
        <v>6.4000000000000001E-2</v>
      </c>
      <c r="I36" s="69">
        <v>6.4000000000000001E-2</v>
      </c>
      <c r="J36" s="69">
        <v>6.4000000000000001E-2</v>
      </c>
      <c r="K36" s="61">
        <v>6.4000000000000001E-2</v>
      </c>
      <c r="L36" s="61">
        <v>6.4000000000000001E-2</v>
      </c>
      <c r="M36" s="61">
        <v>6.4000000000000001E-2</v>
      </c>
      <c r="N36" s="61">
        <v>6.4000000000000001E-2</v>
      </c>
      <c r="O36" s="61">
        <v>6.4000000000000001E-2</v>
      </c>
      <c r="P36" s="61">
        <v>6.4000000000000001E-2</v>
      </c>
      <c r="Q36" s="61">
        <v>6.4000000000000001E-2</v>
      </c>
      <c r="R36" s="61">
        <v>6.4000000000000001E-2</v>
      </c>
      <c r="S36" s="61">
        <v>6.4000000000000001E-2</v>
      </c>
      <c r="T36" s="61">
        <v>6.4000000000000001E-2</v>
      </c>
      <c r="U36" s="61">
        <v>6.4000000000000001E-2</v>
      </c>
      <c r="V36" s="61">
        <v>6.4000000000000001E-2</v>
      </c>
      <c r="W36" s="61">
        <v>6.4000000000000001E-2</v>
      </c>
      <c r="X36" s="61">
        <v>6.4000000000000001E-2</v>
      </c>
      <c r="Y36" s="61">
        <v>6.4000000000000001E-2</v>
      </c>
      <c r="Z36" s="61">
        <v>6.4000000000000001E-2</v>
      </c>
      <c r="AA36" s="61">
        <v>6.4000000000000001E-2</v>
      </c>
      <c r="AB36" s="61">
        <v>6.4000000000000001E-2</v>
      </c>
      <c r="AC36" s="35" t="s">
        <v>413</v>
      </c>
      <c r="AD36" s="37" t="s">
        <v>421</v>
      </c>
    </row>
    <row r="37" spans="1:30" ht="23">
      <c r="A37" s="58" t="s">
        <v>109</v>
      </c>
      <c r="B37" s="88">
        <v>56</v>
      </c>
      <c r="C37" s="88">
        <v>55.8</v>
      </c>
      <c r="D37" s="88">
        <v>55.6</v>
      </c>
      <c r="E37" s="88">
        <v>55.4</v>
      </c>
      <c r="F37" s="88">
        <v>55.2</v>
      </c>
      <c r="G37" s="88">
        <v>55</v>
      </c>
      <c r="H37" s="88">
        <v>54.8</v>
      </c>
      <c r="I37" s="88">
        <v>54.6</v>
      </c>
      <c r="J37" s="88">
        <v>54.4</v>
      </c>
      <c r="K37" s="89">
        <v>54.2</v>
      </c>
      <c r="L37" s="89">
        <v>54</v>
      </c>
      <c r="M37" s="89">
        <v>53.8</v>
      </c>
      <c r="N37" s="89">
        <v>53.6</v>
      </c>
      <c r="O37" s="89">
        <v>53.4</v>
      </c>
      <c r="P37" s="89">
        <v>53.2</v>
      </c>
      <c r="Q37" s="89">
        <v>53</v>
      </c>
      <c r="R37" s="89">
        <v>52.8</v>
      </c>
      <c r="S37" s="89">
        <v>52.6</v>
      </c>
      <c r="T37" s="89">
        <v>52.4</v>
      </c>
      <c r="U37" s="89">
        <v>52.2</v>
      </c>
      <c r="V37" s="89">
        <v>52</v>
      </c>
      <c r="W37" s="89">
        <v>51.8</v>
      </c>
      <c r="X37" s="89">
        <v>51.6</v>
      </c>
      <c r="Y37" s="89">
        <v>51.4</v>
      </c>
      <c r="Z37" s="89">
        <v>51.2</v>
      </c>
      <c r="AA37" s="89">
        <v>51</v>
      </c>
      <c r="AB37" s="89">
        <v>50.8</v>
      </c>
      <c r="AC37" s="8" t="s">
        <v>110</v>
      </c>
      <c r="AD37" s="9" t="s">
        <v>422</v>
      </c>
    </row>
    <row r="38" spans="1:30">
      <c r="A38" s="56" t="s">
        <v>112</v>
      </c>
      <c r="B38" s="90">
        <v>72</v>
      </c>
      <c r="C38" s="90">
        <v>71.75</v>
      </c>
      <c r="D38" s="90">
        <v>71.5</v>
      </c>
      <c r="E38" s="90">
        <v>71.25</v>
      </c>
      <c r="F38" s="90">
        <v>71</v>
      </c>
      <c r="G38" s="90">
        <v>70.75</v>
      </c>
      <c r="H38" s="90">
        <v>70.5</v>
      </c>
      <c r="I38" s="90">
        <v>70.25</v>
      </c>
      <c r="J38" s="90">
        <v>70</v>
      </c>
      <c r="K38" s="89">
        <v>69.75</v>
      </c>
      <c r="L38" s="89">
        <v>69.5</v>
      </c>
      <c r="M38" s="89">
        <v>69.25</v>
      </c>
      <c r="N38" s="89">
        <v>69</v>
      </c>
      <c r="O38" s="89">
        <v>68.75</v>
      </c>
      <c r="P38" s="89">
        <v>68.5</v>
      </c>
      <c r="Q38" s="89">
        <v>68.25</v>
      </c>
      <c r="R38" s="89">
        <v>68</v>
      </c>
      <c r="S38" s="89">
        <v>67.75</v>
      </c>
      <c r="T38" s="89">
        <v>67.5</v>
      </c>
      <c r="U38" s="89">
        <v>67.25</v>
      </c>
      <c r="V38" s="89">
        <v>67</v>
      </c>
      <c r="W38" s="89">
        <v>66.75</v>
      </c>
      <c r="X38" s="89">
        <v>66.5</v>
      </c>
      <c r="Y38" s="89">
        <v>66.25</v>
      </c>
      <c r="Z38" s="89">
        <v>66</v>
      </c>
      <c r="AA38" s="89">
        <v>65.75</v>
      </c>
      <c r="AB38" s="89">
        <v>65.5</v>
      </c>
      <c r="AC38" s="35" t="s">
        <v>110</v>
      </c>
      <c r="AD38" s="37" t="s">
        <v>423</v>
      </c>
    </row>
    <row r="39" spans="1:30">
      <c r="A39" s="58" t="s">
        <v>424</v>
      </c>
      <c r="B39" s="88">
        <v>49</v>
      </c>
      <c r="C39" s="88">
        <v>49.1</v>
      </c>
      <c r="D39" s="88">
        <v>49.2</v>
      </c>
      <c r="E39" s="88">
        <v>49.3</v>
      </c>
      <c r="F39" s="88">
        <v>49.4</v>
      </c>
      <c r="G39" s="88">
        <v>49.5</v>
      </c>
      <c r="H39" s="88">
        <v>49.6</v>
      </c>
      <c r="I39" s="88">
        <v>49.7</v>
      </c>
      <c r="J39" s="88">
        <v>49.8</v>
      </c>
      <c r="K39" s="89">
        <v>49.9</v>
      </c>
      <c r="L39" s="89">
        <v>50</v>
      </c>
      <c r="M39" s="89">
        <v>50.1</v>
      </c>
      <c r="N39" s="89">
        <v>50.2</v>
      </c>
      <c r="O39" s="89">
        <v>50.3</v>
      </c>
      <c r="P39" s="89">
        <v>50.4</v>
      </c>
      <c r="Q39" s="89">
        <v>50.5</v>
      </c>
      <c r="R39" s="89">
        <v>50.6</v>
      </c>
      <c r="S39" s="89">
        <v>50.7</v>
      </c>
      <c r="T39" s="89">
        <v>50.8</v>
      </c>
      <c r="U39" s="89">
        <v>50.9</v>
      </c>
      <c r="V39" s="89">
        <v>51</v>
      </c>
      <c r="W39" s="89">
        <v>51.1</v>
      </c>
      <c r="X39" s="89">
        <v>51.2</v>
      </c>
      <c r="Y39" s="89">
        <v>51.3</v>
      </c>
      <c r="Z39" s="89">
        <v>51.4</v>
      </c>
      <c r="AA39" s="89">
        <v>51.5</v>
      </c>
      <c r="AB39" s="89">
        <v>51.6</v>
      </c>
      <c r="AC39" s="8" t="s">
        <v>110</v>
      </c>
      <c r="AD39" s="9" t="s">
        <v>425</v>
      </c>
    </row>
    <row r="40" spans="1:30">
      <c r="A40" s="56" t="s">
        <v>426</v>
      </c>
      <c r="B40" s="69">
        <v>4.4999999999999998E-2</v>
      </c>
      <c r="C40" s="69">
        <v>4.4999999999999998E-2</v>
      </c>
      <c r="D40" s="69">
        <v>4.4999999999999998E-2</v>
      </c>
      <c r="E40" s="69">
        <v>4.4999999999999998E-2</v>
      </c>
      <c r="F40" s="69">
        <v>4.4999999999999998E-2</v>
      </c>
      <c r="G40" s="69">
        <v>4.4999999999999998E-2</v>
      </c>
      <c r="H40" s="69">
        <v>4.4999999999999998E-2</v>
      </c>
      <c r="I40" s="69">
        <v>4.4999999999999998E-2</v>
      </c>
      <c r="J40" s="69">
        <v>4.4999999999999998E-2</v>
      </c>
      <c r="K40" s="61">
        <v>4.4999999999999998E-2</v>
      </c>
      <c r="L40" s="61">
        <v>4.4999999999999998E-2</v>
      </c>
      <c r="M40" s="61">
        <v>4.4999999999999998E-2</v>
      </c>
      <c r="N40" s="61">
        <v>4.8000000000000001E-2</v>
      </c>
      <c r="O40" s="61">
        <v>4.8000000000000001E-2</v>
      </c>
      <c r="P40" s="61">
        <v>4.8000000000000001E-2</v>
      </c>
      <c r="Q40" s="61">
        <v>4.8000000000000001E-2</v>
      </c>
      <c r="R40" s="61">
        <v>4.8000000000000001E-2</v>
      </c>
      <c r="S40" s="61">
        <v>4.8000000000000001E-2</v>
      </c>
      <c r="T40" s="61">
        <v>4.8000000000000001E-2</v>
      </c>
      <c r="U40" s="61">
        <v>4.8000000000000001E-2</v>
      </c>
      <c r="V40" s="61">
        <v>4.8000000000000001E-2</v>
      </c>
      <c r="W40" s="61">
        <v>4.8000000000000001E-2</v>
      </c>
      <c r="X40" s="61">
        <v>4.8000000000000001E-2</v>
      </c>
      <c r="Y40" s="61">
        <v>4.8000000000000001E-2</v>
      </c>
      <c r="Z40" s="61">
        <v>4.8000000000000001E-2</v>
      </c>
      <c r="AA40" s="61">
        <v>4.8000000000000001E-2</v>
      </c>
      <c r="AB40" s="61">
        <v>4.8000000000000001E-2</v>
      </c>
      <c r="AC40" s="35" t="s">
        <v>413</v>
      </c>
      <c r="AD40" s="37" t="s">
        <v>427</v>
      </c>
    </row>
    <row r="41" spans="1:30">
      <c r="A41" s="64" t="s">
        <v>428</v>
      </c>
      <c r="B41" s="29">
        <v>0.18</v>
      </c>
      <c r="C41" s="29">
        <v>0.18</v>
      </c>
      <c r="D41" s="29">
        <v>0.18</v>
      </c>
      <c r="E41" s="29">
        <v>0.18</v>
      </c>
      <c r="F41" s="29">
        <v>0.18</v>
      </c>
      <c r="G41" s="29">
        <v>0.18</v>
      </c>
      <c r="H41" s="29">
        <v>0.18</v>
      </c>
      <c r="I41" s="29">
        <v>0.18</v>
      </c>
      <c r="J41" s="29">
        <v>0.18</v>
      </c>
      <c r="K41" s="65">
        <v>0.18</v>
      </c>
      <c r="L41" s="65">
        <v>0.18</v>
      </c>
      <c r="M41" s="65">
        <v>0.18</v>
      </c>
      <c r="N41" s="65">
        <v>0.18</v>
      </c>
      <c r="O41" s="65">
        <v>0.18</v>
      </c>
      <c r="P41" s="65">
        <v>0.18</v>
      </c>
      <c r="Q41" s="65">
        <v>0.18</v>
      </c>
      <c r="R41" s="65">
        <v>0.18</v>
      </c>
      <c r="S41" s="65">
        <v>0.18</v>
      </c>
      <c r="T41" s="65">
        <v>0.18</v>
      </c>
      <c r="U41" s="65">
        <v>0.18</v>
      </c>
      <c r="V41" s="65">
        <v>0.18</v>
      </c>
      <c r="W41" s="65">
        <v>0.18</v>
      </c>
      <c r="X41" s="65">
        <v>0.18</v>
      </c>
      <c r="Y41" s="65">
        <v>0.18</v>
      </c>
      <c r="Z41" s="65">
        <v>0.18</v>
      </c>
      <c r="AA41" s="65">
        <v>0.18</v>
      </c>
      <c r="AB41" s="65">
        <v>0.18</v>
      </c>
      <c r="AC41" s="10" t="s">
        <v>429</v>
      </c>
      <c r="AD41" s="11" t="s">
        <v>430</v>
      </c>
    </row>
    <row r="42" spans="1:30">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row>
    <row r="43" spans="1:30" ht="16" customHeight="1">
      <c r="A43" s="162" t="s">
        <v>431</v>
      </c>
      <c r="B43" s="162"/>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row>
    <row r="44" spans="1:30">
      <c r="A44" s="54" t="s">
        <v>432</v>
      </c>
      <c r="B44" s="66">
        <f t="shared" ref="B44:J44" si="0">B15*1*B16*1/1000000</f>
        <v>227.20500000000001</v>
      </c>
      <c r="C44" s="66">
        <f t="shared" si="0"/>
        <v>232.25399999999999</v>
      </c>
      <c r="D44" s="66">
        <f t="shared" si="0"/>
        <v>242.352</v>
      </c>
      <c r="E44" s="66">
        <f t="shared" si="0"/>
        <v>173.28168000000002</v>
      </c>
      <c r="F44" s="66">
        <f t="shared" si="0"/>
        <v>177.2199</v>
      </c>
      <c r="G44" s="66">
        <f t="shared" si="0"/>
        <v>211.04820000000004</v>
      </c>
      <c r="H44" s="66">
        <f t="shared" si="0"/>
        <v>252.45</v>
      </c>
      <c r="I44" s="66">
        <f t="shared" si="0"/>
        <v>257.49900000000002</v>
      </c>
      <c r="J44" s="66">
        <f t="shared" si="0"/>
        <v>265.07249999999999</v>
      </c>
      <c r="K44" s="66">
        <f t="shared" ref="K44:AB44" si="1">K15*$N$7*K16*$O$7/1000000</f>
        <v>272.64600000000002</v>
      </c>
      <c r="L44" s="66">
        <f t="shared" si="1"/>
        <v>265.07249999999999</v>
      </c>
      <c r="M44" s="66">
        <f t="shared" si="1"/>
        <v>239.82749999999999</v>
      </c>
      <c r="N44" s="66">
        <f t="shared" si="1"/>
        <v>240.54647760000003</v>
      </c>
      <c r="O44" s="66">
        <f t="shared" si="1"/>
        <v>245.89195488000001</v>
      </c>
      <c r="P44" s="66">
        <f t="shared" si="1"/>
        <v>256.58290943999998</v>
      </c>
      <c r="Q44" s="66">
        <f t="shared" si="1"/>
        <v>235.20100032000002</v>
      </c>
      <c r="R44" s="66">
        <f t="shared" si="1"/>
        <v>240.54647760000003</v>
      </c>
      <c r="S44" s="66">
        <f t="shared" si="1"/>
        <v>253.9101708</v>
      </c>
      <c r="T44" s="66">
        <f t="shared" si="1"/>
        <v>267.273864</v>
      </c>
      <c r="U44" s="66">
        <f t="shared" si="1"/>
        <v>272.61934127999996</v>
      </c>
      <c r="V44" s="66">
        <f t="shared" si="1"/>
        <v>280.6375572</v>
      </c>
      <c r="W44" s="66">
        <f t="shared" si="1"/>
        <v>288.65577311999999</v>
      </c>
      <c r="X44" s="66">
        <f t="shared" si="1"/>
        <v>280.6375572</v>
      </c>
      <c r="Y44" s="66">
        <f t="shared" si="1"/>
        <v>253.9101708</v>
      </c>
      <c r="Z44" s="66">
        <f t="shared" si="1"/>
        <v>254.21513039999996</v>
      </c>
      <c r="AA44" s="66">
        <f t="shared" si="1"/>
        <v>259.86435552000006</v>
      </c>
      <c r="AB44" s="66">
        <f t="shared" si="1"/>
        <v>271.16280575999997</v>
      </c>
      <c r="AC44" s="6" t="s">
        <v>408</v>
      </c>
      <c r="AD44" s="7"/>
    </row>
    <row r="45" spans="1:30">
      <c r="A45" s="56" t="s">
        <v>433</v>
      </c>
      <c r="B45" s="67">
        <f t="shared" ref="B45:J45" si="2">B17*1*B18*1/1000000</f>
        <v>151.72499999999999</v>
      </c>
      <c r="C45" s="67">
        <f t="shared" si="2"/>
        <v>157.08000000000001</v>
      </c>
      <c r="D45" s="67">
        <f t="shared" si="2"/>
        <v>169.57499999999999</v>
      </c>
      <c r="E45" s="67">
        <f t="shared" si="2"/>
        <v>128.0916</v>
      </c>
      <c r="F45" s="67">
        <f t="shared" si="2"/>
        <v>136.44540000000001</v>
      </c>
      <c r="G45" s="67">
        <f t="shared" si="2"/>
        <v>164.934</v>
      </c>
      <c r="H45" s="67">
        <f t="shared" si="2"/>
        <v>196.35</v>
      </c>
      <c r="I45" s="67">
        <f t="shared" si="2"/>
        <v>199.92000000000002</v>
      </c>
      <c r="J45" s="67">
        <f t="shared" si="2"/>
        <v>192.78</v>
      </c>
      <c r="K45" s="67">
        <f t="shared" ref="K45:AB45" si="3">K17*$N$7*K18*$O$7/1000000</f>
        <v>178.5</v>
      </c>
      <c r="L45" s="67">
        <f t="shared" si="3"/>
        <v>164.22</v>
      </c>
      <c r="M45" s="67">
        <f t="shared" si="3"/>
        <v>151.72499999999999</v>
      </c>
      <c r="N45" s="67">
        <f t="shared" si="3"/>
        <v>167.14026000000001</v>
      </c>
      <c r="O45" s="67">
        <f t="shared" si="3"/>
        <v>173.03932800000001</v>
      </c>
      <c r="P45" s="67">
        <f t="shared" si="3"/>
        <v>186.80382</v>
      </c>
      <c r="Q45" s="67">
        <f t="shared" si="3"/>
        <v>180.904752</v>
      </c>
      <c r="R45" s="67">
        <f t="shared" si="3"/>
        <v>192.702888</v>
      </c>
      <c r="S45" s="67">
        <f t="shared" si="3"/>
        <v>206.46737999999999</v>
      </c>
      <c r="T45" s="67">
        <f t="shared" si="3"/>
        <v>216.29916</v>
      </c>
      <c r="U45" s="67">
        <f t="shared" si="3"/>
        <v>220.23187200000004</v>
      </c>
      <c r="V45" s="67">
        <f t="shared" si="3"/>
        <v>212.36644799999999</v>
      </c>
      <c r="W45" s="67">
        <f t="shared" si="3"/>
        <v>196.63560000000001</v>
      </c>
      <c r="X45" s="67">
        <f t="shared" si="3"/>
        <v>180.904752</v>
      </c>
      <c r="Y45" s="67">
        <f t="shared" si="3"/>
        <v>167.14026000000001</v>
      </c>
      <c r="Z45" s="67">
        <f t="shared" si="3"/>
        <v>183.04104000000001</v>
      </c>
      <c r="AA45" s="67">
        <f t="shared" si="3"/>
        <v>189.50131200000001</v>
      </c>
      <c r="AB45" s="67">
        <f t="shared" si="3"/>
        <v>204.57527999999999</v>
      </c>
      <c r="AC45" s="35" t="s">
        <v>408</v>
      </c>
      <c r="AD45" s="37"/>
    </row>
    <row r="46" spans="1:30">
      <c r="A46" s="58" t="s">
        <v>434</v>
      </c>
      <c r="B46" s="68">
        <f t="shared" ref="B46:J46" si="4">B19*1*B20/1000000</f>
        <v>80.08</v>
      </c>
      <c r="C46" s="68">
        <f t="shared" si="4"/>
        <v>81.900000000000006</v>
      </c>
      <c r="D46" s="68">
        <f t="shared" si="4"/>
        <v>86.45</v>
      </c>
      <c r="E46" s="68">
        <f t="shared" si="4"/>
        <v>65.301599999999993</v>
      </c>
      <c r="F46" s="68">
        <f t="shared" si="4"/>
        <v>69.560400000000001</v>
      </c>
      <c r="G46" s="68">
        <f t="shared" si="4"/>
        <v>80.08</v>
      </c>
      <c r="H46" s="68">
        <f t="shared" si="4"/>
        <v>93.73</v>
      </c>
      <c r="I46" s="68">
        <f t="shared" si="4"/>
        <v>95.55</v>
      </c>
      <c r="J46" s="68">
        <f t="shared" si="4"/>
        <v>98.28</v>
      </c>
      <c r="K46" s="68">
        <f t="shared" ref="K46:AB46" si="5">K19*$N$7*K20/1000000</f>
        <v>100.10000000000001</v>
      </c>
      <c r="L46" s="68">
        <f t="shared" si="5"/>
        <v>96.46</v>
      </c>
      <c r="M46" s="68">
        <f t="shared" si="5"/>
        <v>91</v>
      </c>
      <c r="N46" s="68">
        <f t="shared" si="5"/>
        <v>89.849760000000032</v>
      </c>
      <c r="O46" s="68">
        <f t="shared" si="5"/>
        <v>91.891800000000018</v>
      </c>
      <c r="P46" s="68">
        <f t="shared" si="5"/>
        <v>96.996900000000011</v>
      </c>
      <c r="Q46" s="68">
        <f t="shared" si="5"/>
        <v>93.933840000000032</v>
      </c>
      <c r="R46" s="68">
        <f t="shared" si="5"/>
        <v>100.05996</v>
      </c>
      <c r="S46" s="68">
        <f t="shared" si="5"/>
        <v>102.10200000000002</v>
      </c>
      <c r="T46" s="68">
        <f t="shared" si="5"/>
        <v>105.16506000000003</v>
      </c>
      <c r="U46" s="68">
        <f t="shared" si="5"/>
        <v>107.20710000000001</v>
      </c>
      <c r="V46" s="68">
        <f t="shared" si="5"/>
        <v>110.27016000000003</v>
      </c>
      <c r="W46" s="68">
        <f t="shared" si="5"/>
        <v>112.31220000000003</v>
      </c>
      <c r="X46" s="68">
        <f t="shared" si="5"/>
        <v>108.22812000000003</v>
      </c>
      <c r="Y46" s="68">
        <f t="shared" si="5"/>
        <v>102.10200000000002</v>
      </c>
      <c r="Z46" s="68">
        <f t="shared" si="5"/>
        <v>99.939840000000004</v>
      </c>
      <c r="AA46" s="68">
        <f t="shared" si="5"/>
        <v>102.21120000000001</v>
      </c>
      <c r="AB46" s="68">
        <f t="shared" si="5"/>
        <v>107.8896</v>
      </c>
      <c r="AC46" s="8" t="s">
        <v>408</v>
      </c>
      <c r="AD46" s="9"/>
    </row>
    <row r="47" spans="1:30">
      <c r="A47" s="56" t="s">
        <v>435</v>
      </c>
      <c r="B47" s="67">
        <f t="shared" ref="B47:J47" si="6">B21*(1+(1-1)*0.5)*B22/1000000</f>
        <v>17.753409999999995</v>
      </c>
      <c r="C47" s="67">
        <f t="shared" si="6"/>
        <v>17.877683869999998</v>
      </c>
      <c r="D47" s="67">
        <f t="shared" si="6"/>
        <v>18.002827657089995</v>
      </c>
      <c r="E47" s="67">
        <f t="shared" si="6"/>
        <v>18.128847450689623</v>
      </c>
      <c r="F47" s="67">
        <f t="shared" si="6"/>
        <v>18.255749382844449</v>
      </c>
      <c r="G47" s="67">
        <f t="shared" si="6"/>
        <v>18.383539628524357</v>
      </c>
      <c r="H47" s="67">
        <f t="shared" si="6"/>
        <v>18.512224405924027</v>
      </c>
      <c r="I47" s="67">
        <f t="shared" si="6"/>
        <v>18.64180997676549</v>
      </c>
      <c r="J47" s="67">
        <f t="shared" si="6"/>
        <v>18.772302646602849</v>
      </c>
      <c r="K47" s="67">
        <f t="shared" ref="K47:AB47" si="7">K21*(1+($N$7-1)*0.5)*K22/1000000</f>
        <v>18.903708765129068</v>
      </c>
      <c r="L47" s="67">
        <f t="shared" si="7"/>
        <v>19.036034726484971</v>
      </c>
      <c r="M47" s="67">
        <f t="shared" si="7"/>
        <v>19.169286969570361</v>
      </c>
      <c r="N47" s="67">
        <f t="shared" si="7"/>
        <v>19.728646763342425</v>
      </c>
      <c r="O47" s="67">
        <f t="shared" si="7"/>
        <v>19.906204584212503</v>
      </c>
      <c r="P47" s="67">
        <f t="shared" si="7"/>
        <v>20.085360425470412</v>
      </c>
      <c r="Q47" s="67">
        <f t="shared" si="7"/>
        <v>20.266128669299643</v>
      </c>
      <c r="R47" s="67">
        <f t="shared" si="7"/>
        <v>20.448523827323339</v>
      </c>
      <c r="S47" s="67">
        <f t="shared" si="7"/>
        <v>20.632560541769244</v>
      </c>
      <c r="T47" s="67">
        <f t="shared" si="7"/>
        <v>20.818253586645167</v>
      </c>
      <c r="U47" s="67">
        <f t="shared" si="7"/>
        <v>21.005617868924972</v>
      </c>
      <c r="V47" s="67">
        <f t="shared" si="7"/>
        <v>21.194668429745295</v>
      </c>
      <c r="W47" s="67">
        <f t="shared" si="7"/>
        <v>21.385420445613001</v>
      </c>
      <c r="X47" s="67">
        <f t="shared" si="7"/>
        <v>21.577889229623516</v>
      </c>
      <c r="Y47" s="67">
        <f t="shared" si="7"/>
        <v>21.772090232690125</v>
      </c>
      <c r="Z47" s="67">
        <f t="shared" si="7"/>
        <v>22.398784908407553</v>
      </c>
      <c r="AA47" s="67">
        <f t="shared" si="7"/>
        <v>22.60037397258322</v>
      </c>
      <c r="AB47" s="67">
        <f t="shared" si="7"/>
        <v>22.803777338336467</v>
      </c>
      <c r="AC47" s="35" t="s">
        <v>408</v>
      </c>
      <c r="AD47" s="37"/>
    </row>
    <row r="48" spans="1:30">
      <c r="A48" s="58" t="s">
        <v>436</v>
      </c>
      <c r="B48" s="68">
        <f t="shared" ref="B48:AB48" si="8">B23*B24*B25*B26/1000000</f>
        <v>90.09</v>
      </c>
      <c r="C48" s="68">
        <f t="shared" si="8"/>
        <v>90.09</v>
      </c>
      <c r="D48" s="68">
        <f t="shared" si="8"/>
        <v>90.09</v>
      </c>
      <c r="E48" s="68">
        <f t="shared" si="8"/>
        <v>90.09</v>
      </c>
      <c r="F48" s="68">
        <f t="shared" si="8"/>
        <v>90.09</v>
      </c>
      <c r="G48" s="68">
        <f t="shared" si="8"/>
        <v>90.09</v>
      </c>
      <c r="H48" s="68">
        <f t="shared" si="8"/>
        <v>90.09</v>
      </c>
      <c r="I48" s="68">
        <f t="shared" si="8"/>
        <v>90.09</v>
      </c>
      <c r="J48" s="68">
        <f t="shared" si="8"/>
        <v>90.09</v>
      </c>
      <c r="K48" s="68">
        <f t="shared" si="8"/>
        <v>90.09</v>
      </c>
      <c r="L48" s="68">
        <f t="shared" si="8"/>
        <v>90.09</v>
      </c>
      <c r="M48" s="68">
        <f t="shared" si="8"/>
        <v>90.09</v>
      </c>
      <c r="N48" s="68">
        <f t="shared" si="8"/>
        <v>96.343181999999999</v>
      </c>
      <c r="O48" s="68">
        <f t="shared" si="8"/>
        <v>96.343181999999999</v>
      </c>
      <c r="P48" s="68">
        <f t="shared" si="8"/>
        <v>96.343181999999999</v>
      </c>
      <c r="Q48" s="68">
        <f t="shared" si="8"/>
        <v>96.343181999999999</v>
      </c>
      <c r="R48" s="68">
        <f t="shared" si="8"/>
        <v>96.343181999999999</v>
      </c>
      <c r="S48" s="68">
        <f t="shared" si="8"/>
        <v>96.343181999999999</v>
      </c>
      <c r="T48" s="68">
        <f t="shared" si="8"/>
        <v>96.343181999999999</v>
      </c>
      <c r="U48" s="68">
        <f t="shared" si="8"/>
        <v>96.343181999999999</v>
      </c>
      <c r="V48" s="68">
        <f t="shared" si="8"/>
        <v>96.343181999999999</v>
      </c>
      <c r="W48" s="68">
        <f t="shared" si="8"/>
        <v>96.343181999999999</v>
      </c>
      <c r="X48" s="68">
        <f t="shared" si="8"/>
        <v>96.343181999999999</v>
      </c>
      <c r="Y48" s="68">
        <f t="shared" si="8"/>
        <v>96.343181999999999</v>
      </c>
      <c r="Z48" s="68">
        <f t="shared" si="8"/>
        <v>102.856104</v>
      </c>
      <c r="AA48" s="68">
        <f t="shared" si="8"/>
        <v>102.856104</v>
      </c>
      <c r="AB48" s="68">
        <f t="shared" si="8"/>
        <v>102.856104</v>
      </c>
      <c r="AC48" s="8" t="s">
        <v>408</v>
      </c>
      <c r="AD48" s="9"/>
    </row>
    <row r="49" spans="1:30">
      <c r="A49" s="56" t="s">
        <v>437</v>
      </c>
      <c r="B49" s="67">
        <f t="shared" ref="B49:AB49" si="9">B48+B27</f>
        <v>147.13</v>
      </c>
      <c r="C49" s="67">
        <f t="shared" si="9"/>
        <v>148.37</v>
      </c>
      <c r="D49" s="67">
        <f t="shared" si="9"/>
        <v>149.61000000000001</v>
      </c>
      <c r="E49" s="67">
        <f t="shared" si="9"/>
        <v>137.4828</v>
      </c>
      <c r="F49" s="67">
        <f t="shared" si="9"/>
        <v>138.44999999999999</v>
      </c>
      <c r="G49" s="67">
        <f t="shared" si="9"/>
        <v>146.2868</v>
      </c>
      <c r="H49" s="67">
        <f t="shared" si="9"/>
        <v>155.19</v>
      </c>
      <c r="I49" s="67">
        <f t="shared" si="9"/>
        <v>155.81</v>
      </c>
      <c r="J49" s="67">
        <f t="shared" si="9"/>
        <v>154.57</v>
      </c>
      <c r="K49" s="67">
        <f t="shared" si="9"/>
        <v>153.33000000000001</v>
      </c>
      <c r="L49" s="67">
        <f t="shared" si="9"/>
        <v>152.09</v>
      </c>
      <c r="M49" s="67">
        <f t="shared" si="9"/>
        <v>148.99</v>
      </c>
      <c r="N49" s="67">
        <f t="shared" si="9"/>
        <v>156.23518200000001</v>
      </c>
      <c r="O49" s="67">
        <f t="shared" si="9"/>
        <v>157.537182</v>
      </c>
      <c r="P49" s="67">
        <f t="shared" si="9"/>
        <v>158.83918199999999</v>
      </c>
      <c r="Q49" s="67">
        <f t="shared" si="9"/>
        <v>160.14118200000001</v>
      </c>
      <c r="R49" s="67">
        <f t="shared" si="9"/>
        <v>161.44318200000001</v>
      </c>
      <c r="S49" s="67">
        <f t="shared" si="9"/>
        <v>163.39618200000001</v>
      </c>
      <c r="T49" s="67">
        <f t="shared" si="9"/>
        <v>164.69818200000003</v>
      </c>
      <c r="U49" s="67">
        <f t="shared" si="9"/>
        <v>165.34918200000001</v>
      </c>
      <c r="V49" s="67">
        <f t="shared" si="9"/>
        <v>164.04718200000002</v>
      </c>
      <c r="W49" s="67">
        <f t="shared" si="9"/>
        <v>162.745182</v>
      </c>
      <c r="X49" s="67">
        <f t="shared" si="9"/>
        <v>161.44318200000001</v>
      </c>
      <c r="Y49" s="67">
        <f t="shared" si="9"/>
        <v>158.18818200000001</v>
      </c>
      <c r="Z49" s="67">
        <f t="shared" si="9"/>
        <v>165.60010400000002</v>
      </c>
      <c r="AA49" s="67">
        <f t="shared" si="9"/>
        <v>166.96410400000002</v>
      </c>
      <c r="AB49" s="67">
        <f t="shared" si="9"/>
        <v>168.328104</v>
      </c>
      <c r="AC49" s="35" t="s">
        <v>408</v>
      </c>
      <c r="AD49" s="37"/>
    </row>
    <row r="50" spans="1:30">
      <c r="A50" s="58" t="s">
        <v>438</v>
      </c>
      <c r="B50" s="68">
        <f t="shared" ref="B50:AB50" si="10">SUM(B44:B47)+B49</f>
        <v>623.8934099999999</v>
      </c>
      <c r="C50" s="68">
        <f t="shared" si="10"/>
        <v>637.4816838700001</v>
      </c>
      <c r="D50" s="68">
        <f t="shared" si="10"/>
        <v>665.98982765709002</v>
      </c>
      <c r="E50" s="68">
        <f t="shared" si="10"/>
        <v>522.28652745068962</v>
      </c>
      <c r="F50" s="68">
        <f t="shared" si="10"/>
        <v>539.93144938284445</v>
      </c>
      <c r="G50" s="68">
        <f t="shared" si="10"/>
        <v>620.73253962852436</v>
      </c>
      <c r="H50" s="68">
        <f t="shared" si="10"/>
        <v>716.23222440592394</v>
      </c>
      <c r="I50" s="68">
        <f t="shared" si="10"/>
        <v>727.42080997676544</v>
      </c>
      <c r="J50" s="68">
        <f t="shared" si="10"/>
        <v>729.47480264660271</v>
      </c>
      <c r="K50" s="68">
        <f t="shared" si="10"/>
        <v>723.47970876512909</v>
      </c>
      <c r="L50" s="68">
        <f t="shared" si="10"/>
        <v>696.8785347264851</v>
      </c>
      <c r="M50" s="68">
        <f t="shared" si="10"/>
        <v>650.71178696957031</v>
      </c>
      <c r="N50" s="68">
        <f t="shared" si="10"/>
        <v>673.50032636334254</v>
      </c>
      <c r="O50" s="68">
        <f t="shared" si="10"/>
        <v>688.26646946421261</v>
      </c>
      <c r="P50" s="68">
        <f t="shared" si="10"/>
        <v>719.30817186547029</v>
      </c>
      <c r="Q50" s="68">
        <f t="shared" si="10"/>
        <v>690.44690298929982</v>
      </c>
      <c r="R50" s="68">
        <f t="shared" si="10"/>
        <v>715.20103142732341</v>
      </c>
      <c r="S50" s="68">
        <f t="shared" si="10"/>
        <v>746.50829334176933</v>
      </c>
      <c r="T50" s="68">
        <f t="shared" si="10"/>
        <v>774.2545195866453</v>
      </c>
      <c r="U50" s="68">
        <f t="shared" si="10"/>
        <v>786.41311314892505</v>
      </c>
      <c r="V50" s="68">
        <f t="shared" si="10"/>
        <v>788.51601562974531</v>
      </c>
      <c r="W50" s="68">
        <f t="shared" si="10"/>
        <v>781.7341755656131</v>
      </c>
      <c r="X50" s="68">
        <f t="shared" si="10"/>
        <v>752.79150042962351</v>
      </c>
      <c r="Y50" s="68">
        <f t="shared" si="10"/>
        <v>703.11270303269021</v>
      </c>
      <c r="Z50" s="68">
        <f t="shared" si="10"/>
        <v>725.19489930840757</v>
      </c>
      <c r="AA50" s="68">
        <f t="shared" si="10"/>
        <v>741.14134549258335</v>
      </c>
      <c r="AB50" s="68">
        <f t="shared" si="10"/>
        <v>774.75956709833645</v>
      </c>
      <c r="AC50" s="8" t="s">
        <v>408</v>
      </c>
      <c r="AD50" s="9"/>
    </row>
    <row r="51" spans="1:30">
      <c r="A51" s="56" t="s">
        <v>439</v>
      </c>
      <c r="B51" s="69">
        <f t="shared" ref="B51:J51" si="11">B30*(B28*1/100)/(B29*1/100)</f>
        <v>0.41499999999999998</v>
      </c>
      <c r="C51" s="69">
        <f t="shared" si="11"/>
        <v>0.41541396508728173</v>
      </c>
      <c r="D51" s="69">
        <f t="shared" si="11"/>
        <v>0.41582587064676624</v>
      </c>
      <c r="E51" s="69">
        <f t="shared" si="11"/>
        <v>0.41623573200992547</v>
      </c>
      <c r="F51" s="69">
        <f t="shared" si="11"/>
        <v>0.41664356435643563</v>
      </c>
      <c r="G51" s="69">
        <f t="shared" si="11"/>
        <v>0.41704938271604941</v>
      </c>
      <c r="H51" s="69">
        <f t="shared" si="11"/>
        <v>0.41745320197044333</v>
      </c>
      <c r="I51" s="69">
        <f t="shared" si="11"/>
        <v>0.41785503685503678</v>
      </c>
      <c r="J51" s="69">
        <f t="shared" si="11"/>
        <v>0.4182549019607843</v>
      </c>
      <c r="K51" s="69">
        <f t="shared" ref="K51:AB51" si="12">K30*(K28*$P$7/100)/(K29*$Q$7/100)</f>
        <v>0.41865281173594138</v>
      </c>
      <c r="L51" s="69">
        <f t="shared" si="12"/>
        <v>0.41904878048780486</v>
      </c>
      <c r="M51" s="69">
        <f t="shared" si="12"/>
        <v>0.41944282238442815</v>
      </c>
      <c r="N51" s="69">
        <f t="shared" si="12"/>
        <v>0.44400970873786411</v>
      </c>
      <c r="O51" s="69">
        <f t="shared" si="12"/>
        <v>0.44434140435835345</v>
      </c>
      <c r="P51" s="69">
        <f t="shared" si="12"/>
        <v>0.44467149758454105</v>
      </c>
      <c r="Q51" s="69">
        <f t="shared" si="12"/>
        <v>0.44499999999999995</v>
      </c>
      <c r="R51" s="69">
        <f t="shared" si="12"/>
        <v>0.44532692307692301</v>
      </c>
      <c r="S51" s="69">
        <f t="shared" si="12"/>
        <v>0.44565227817745801</v>
      </c>
      <c r="T51" s="69">
        <f t="shared" si="12"/>
        <v>0.44597607655502391</v>
      </c>
      <c r="U51" s="69">
        <f t="shared" si="12"/>
        <v>0.44629832935560854</v>
      </c>
      <c r="V51" s="69">
        <f t="shared" si="12"/>
        <v>0.44661904761904753</v>
      </c>
      <c r="W51" s="69">
        <f t="shared" si="12"/>
        <v>0.446938242280285</v>
      </c>
      <c r="X51" s="69">
        <f t="shared" si="12"/>
        <v>0.4472559241706161</v>
      </c>
      <c r="Y51" s="69">
        <f t="shared" si="12"/>
        <v>0.44757210401891245</v>
      </c>
      <c r="Z51" s="69">
        <f t="shared" si="12"/>
        <v>0.45571698113207548</v>
      </c>
      <c r="AA51" s="69">
        <f t="shared" si="12"/>
        <v>0.45601176470588234</v>
      </c>
      <c r="AB51" s="69">
        <f t="shared" si="12"/>
        <v>0.45630516431924883</v>
      </c>
      <c r="AC51" s="35" t="s">
        <v>413</v>
      </c>
      <c r="AD51" s="37"/>
    </row>
    <row r="52" spans="1:30">
      <c r="A52" s="58" t="s">
        <v>440</v>
      </c>
      <c r="B52" s="68">
        <f t="shared" ref="B52:AB52" si="13">B50*B51</f>
        <v>258.91576514999997</v>
      </c>
      <c r="C52" s="68">
        <f t="shared" si="13"/>
        <v>264.81879396695382</v>
      </c>
      <c r="D52" s="68">
        <f t="shared" si="13"/>
        <v>276.93579992739927</v>
      </c>
      <c r="E52" s="68">
        <f t="shared" si="13"/>
        <v>217.39431507235983</v>
      </c>
      <c r="F52" s="68">
        <f t="shared" si="13"/>
        <v>224.95896357900472</v>
      </c>
      <c r="G52" s="68">
        <f t="shared" si="13"/>
        <v>258.87612248384175</v>
      </c>
      <c r="H52" s="68">
        <f t="shared" si="13"/>
        <v>298.99343543266605</v>
      </c>
      <c r="I52" s="68">
        <f t="shared" si="13"/>
        <v>303.95644936196203</v>
      </c>
      <c r="J52" s="68">
        <f t="shared" si="13"/>
        <v>305.10641206381729</v>
      </c>
      <c r="K52" s="68">
        <f t="shared" si="13"/>
        <v>302.88681430842126</v>
      </c>
      <c r="L52" s="68">
        <f t="shared" si="13"/>
        <v>292.02610012526196</v>
      </c>
      <c r="M52" s="68">
        <f t="shared" si="13"/>
        <v>272.93638848533135</v>
      </c>
      <c r="N52" s="68">
        <f t="shared" si="13"/>
        <v>299.04068374344416</v>
      </c>
      <c r="O52" s="68">
        <f t="shared" si="13"/>
        <v>305.82528961449401</v>
      </c>
      <c r="P52" s="68">
        <f t="shared" si="13"/>
        <v>319.85584200821711</v>
      </c>
      <c r="Q52" s="68">
        <f t="shared" si="13"/>
        <v>307.24887183023839</v>
      </c>
      <c r="R52" s="68">
        <f t="shared" si="13"/>
        <v>318.49827470697164</v>
      </c>
      <c r="S52" s="68">
        <f t="shared" si="13"/>
        <v>332.68312160612561</v>
      </c>
      <c r="T52" s="68">
        <f t="shared" si="13"/>
        <v>345.29899290024701</v>
      </c>
      <c r="U52" s="68">
        <f t="shared" si="13"/>
        <v>350.97485858170842</v>
      </c>
      <c r="V52" s="68">
        <f t="shared" si="13"/>
        <v>352.16627193292283</v>
      </c>
      <c r="W52" s="68">
        <f t="shared" si="13"/>
        <v>349.38689835772283</v>
      </c>
      <c r="X52" s="68">
        <f t="shared" si="13"/>
        <v>336.69045823243601</v>
      </c>
      <c r="Y52" s="68">
        <f t="shared" si="13"/>
        <v>314.69363185876591</v>
      </c>
      <c r="Z52" s="68">
        <f t="shared" si="13"/>
        <v>330.48363024520694</v>
      </c>
      <c r="AA52" s="68">
        <f t="shared" si="13"/>
        <v>337.96917285456499</v>
      </c>
      <c r="AB52" s="68">
        <f t="shared" si="13"/>
        <v>353.52679157271649</v>
      </c>
      <c r="AC52" s="8" t="s">
        <v>408</v>
      </c>
      <c r="AD52" s="9"/>
    </row>
    <row r="53" spans="1:30">
      <c r="A53" s="56" t="s">
        <v>441</v>
      </c>
      <c r="B53" s="67">
        <f t="shared" ref="B53:J53" si="14">B50*B31/(B29*1/100)</f>
        <v>90.464544449999977</v>
      </c>
      <c r="C53" s="67">
        <f t="shared" si="14"/>
        <v>92.20433332783044</v>
      </c>
      <c r="D53" s="67">
        <f t="shared" si="14"/>
        <v>96.088084587341356</v>
      </c>
      <c r="E53" s="67">
        <f t="shared" si="14"/>
        <v>75.167788069826287</v>
      </c>
      <c r="F53" s="67">
        <f t="shared" si="14"/>
        <v>77.514911050012316</v>
      </c>
      <c r="G53" s="67">
        <f t="shared" si="14"/>
        <v>88.89503036655411</v>
      </c>
      <c r="H53" s="67">
        <f t="shared" si="14"/>
        <v>102.31888920084627</v>
      </c>
      <c r="I53" s="67">
        <f t="shared" si="14"/>
        <v>103.66193360848253</v>
      </c>
      <c r="J53" s="67">
        <f t="shared" si="14"/>
        <v>103.69984939584057</v>
      </c>
      <c r="K53" s="67">
        <f t="shared" ref="K53:AB53" si="15">K50*K31/(K29*$Q$7/100)</f>
        <v>102.59614451926036</v>
      </c>
      <c r="L53" s="67">
        <f t="shared" si="15"/>
        <v>98.58281710764912</v>
      </c>
      <c r="M53" s="67">
        <f t="shared" si="15"/>
        <v>91.827940740231313</v>
      </c>
      <c r="N53" s="67">
        <f t="shared" si="15"/>
        <v>94.813152740470542</v>
      </c>
      <c r="O53" s="67">
        <f t="shared" si="15"/>
        <v>96.657276583351887</v>
      </c>
      <c r="P53" s="67">
        <f t="shared" si="15"/>
        <v>100.77264243525912</v>
      </c>
      <c r="Q53" s="67">
        <f t="shared" si="15"/>
        <v>96.496193670793687</v>
      </c>
      <c r="R53" s="67">
        <f t="shared" si="15"/>
        <v>99.715528420155664</v>
      </c>
      <c r="S53" s="67">
        <f t="shared" si="15"/>
        <v>103.83088972139717</v>
      </c>
      <c r="T53" s="67">
        <f t="shared" si="15"/>
        <v>107.43244530149623</v>
      </c>
      <c r="U53" s="67">
        <f t="shared" si="15"/>
        <v>108.85909442156955</v>
      </c>
      <c r="V53" s="67">
        <f t="shared" si="15"/>
        <v>108.89030692029816</v>
      </c>
      <c r="W53" s="67">
        <f t="shared" si="15"/>
        <v>107.69734485226974</v>
      </c>
      <c r="X53" s="67">
        <f t="shared" si="15"/>
        <v>103.46423465620418</v>
      </c>
      <c r="Y53" s="67">
        <f t="shared" si="15"/>
        <v>96.407888359092254</v>
      </c>
      <c r="Z53" s="67">
        <f t="shared" si="15"/>
        <v>99.201189056338762</v>
      </c>
      <c r="AA53" s="67">
        <f t="shared" si="15"/>
        <v>101.14399538487019</v>
      </c>
      <c r="AB53" s="67">
        <f t="shared" si="15"/>
        <v>105.48369692888149</v>
      </c>
      <c r="AC53" s="35" t="s">
        <v>408</v>
      </c>
      <c r="AD53" s="37"/>
    </row>
    <row r="54" spans="1:30">
      <c r="A54" s="58" t="s">
        <v>442</v>
      </c>
      <c r="B54" s="68">
        <f t="shared" ref="B54:AB54" si="16">B50*B32</f>
        <v>32.442457319999995</v>
      </c>
      <c r="C54" s="68">
        <f t="shared" si="16"/>
        <v>33.149047561240003</v>
      </c>
      <c r="D54" s="68">
        <f t="shared" si="16"/>
        <v>34.631471038168677</v>
      </c>
      <c r="E54" s="68">
        <f t="shared" si="16"/>
        <v>27.158899427435859</v>
      </c>
      <c r="F54" s="68">
        <f t="shared" si="16"/>
        <v>28.076435367907909</v>
      </c>
      <c r="G54" s="68">
        <f t="shared" si="16"/>
        <v>32.278092060683264</v>
      </c>
      <c r="H54" s="68">
        <f t="shared" si="16"/>
        <v>37.244075669108042</v>
      </c>
      <c r="I54" s="68">
        <f t="shared" si="16"/>
        <v>37.825882118791803</v>
      </c>
      <c r="J54" s="68">
        <f t="shared" si="16"/>
        <v>37.932689737623342</v>
      </c>
      <c r="K54" s="68">
        <f t="shared" si="16"/>
        <v>37.620944855786711</v>
      </c>
      <c r="L54" s="68">
        <f t="shared" si="16"/>
        <v>36.237683805777223</v>
      </c>
      <c r="M54" s="68">
        <f t="shared" si="16"/>
        <v>33.837012922417657</v>
      </c>
      <c r="N54" s="68">
        <f t="shared" si="16"/>
        <v>35.022016970893809</v>
      </c>
      <c r="O54" s="68">
        <f t="shared" si="16"/>
        <v>35.789856412139052</v>
      </c>
      <c r="P54" s="68">
        <f t="shared" si="16"/>
        <v>37.404024937004451</v>
      </c>
      <c r="Q54" s="68">
        <f t="shared" si="16"/>
        <v>35.903238955443591</v>
      </c>
      <c r="R54" s="68">
        <f t="shared" si="16"/>
        <v>37.190453634220816</v>
      </c>
      <c r="S54" s="68">
        <f t="shared" si="16"/>
        <v>38.818431253772005</v>
      </c>
      <c r="T54" s="68">
        <f t="shared" si="16"/>
        <v>40.261235018505552</v>
      </c>
      <c r="U54" s="68">
        <f t="shared" si="16"/>
        <v>40.893481883744101</v>
      </c>
      <c r="V54" s="68">
        <f t="shared" si="16"/>
        <v>41.002832812746753</v>
      </c>
      <c r="W54" s="68">
        <f t="shared" si="16"/>
        <v>40.65017712941188</v>
      </c>
      <c r="X54" s="68">
        <f t="shared" si="16"/>
        <v>39.145158022340418</v>
      </c>
      <c r="Y54" s="68">
        <f t="shared" si="16"/>
        <v>36.561860557699887</v>
      </c>
      <c r="Z54" s="68">
        <f t="shared" si="16"/>
        <v>37.710134764037193</v>
      </c>
      <c r="AA54" s="68">
        <f t="shared" si="16"/>
        <v>38.539349965614335</v>
      </c>
      <c r="AB54" s="68">
        <f t="shared" si="16"/>
        <v>40.287497489113491</v>
      </c>
      <c r="AC54" s="8" t="s">
        <v>408</v>
      </c>
      <c r="AD54" s="9"/>
    </row>
    <row r="55" spans="1:30">
      <c r="A55" s="56" t="s">
        <v>443</v>
      </c>
      <c r="B55" s="67">
        <f t="shared" ref="B55:AB55" si="17">B33*B34/12/1000000+B50*B35</f>
        <v>99.208536783333315</v>
      </c>
      <c r="C55" s="67">
        <f t="shared" si="17"/>
        <v>99.82000910748333</v>
      </c>
      <c r="D55" s="67">
        <f t="shared" si="17"/>
        <v>101.10287557790238</v>
      </c>
      <c r="E55" s="67">
        <f t="shared" si="17"/>
        <v>94.63622706861436</v>
      </c>
      <c r="F55" s="67">
        <f t="shared" si="17"/>
        <v>95.43024855556132</v>
      </c>
      <c r="G55" s="67">
        <f t="shared" si="17"/>
        <v>99.066297616616922</v>
      </c>
      <c r="H55" s="67">
        <f t="shared" si="17"/>
        <v>103.3637834315999</v>
      </c>
      <c r="I55" s="67">
        <f t="shared" si="17"/>
        <v>103.86726978228776</v>
      </c>
      <c r="J55" s="67">
        <f t="shared" si="17"/>
        <v>103.95969945243044</v>
      </c>
      <c r="K55" s="67">
        <f t="shared" si="17"/>
        <v>103.68992022776413</v>
      </c>
      <c r="L55" s="67">
        <f t="shared" si="17"/>
        <v>102.49286739602516</v>
      </c>
      <c r="M55" s="67">
        <f t="shared" si="17"/>
        <v>100.41536374696399</v>
      </c>
      <c r="N55" s="67">
        <f t="shared" si="17"/>
        <v>104.31285635301707</v>
      </c>
      <c r="O55" s="67">
        <f t="shared" si="17"/>
        <v>104.97733279255621</v>
      </c>
      <c r="P55" s="67">
        <f t="shared" si="17"/>
        <v>106.37420940061281</v>
      </c>
      <c r="Q55" s="67">
        <f t="shared" si="17"/>
        <v>105.07545230118514</v>
      </c>
      <c r="R55" s="67">
        <f t="shared" si="17"/>
        <v>106.18938808089621</v>
      </c>
      <c r="S55" s="67">
        <f t="shared" si="17"/>
        <v>107.59821486704627</v>
      </c>
      <c r="T55" s="67">
        <f t="shared" si="17"/>
        <v>108.84679504806569</v>
      </c>
      <c r="U55" s="67">
        <f t="shared" si="17"/>
        <v>109.39393175836827</v>
      </c>
      <c r="V55" s="67">
        <f t="shared" si="17"/>
        <v>109.48856237000518</v>
      </c>
      <c r="W55" s="67">
        <f t="shared" si="17"/>
        <v>109.18337956711923</v>
      </c>
      <c r="X55" s="67">
        <f t="shared" si="17"/>
        <v>107.8809591859997</v>
      </c>
      <c r="Y55" s="67">
        <f t="shared" si="17"/>
        <v>105.64541330313772</v>
      </c>
      <c r="Z55" s="67">
        <f t="shared" si="17"/>
        <v>109.56447046887834</v>
      </c>
      <c r="AA55" s="67">
        <f t="shared" si="17"/>
        <v>110.28206054716625</v>
      </c>
      <c r="AB55" s="67">
        <f t="shared" si="17"/>
        <v>111.79488051942513</v>
      </c>
      <c r="AC55" s="35" t="s">
        <v>408</v>
      </c>
      <c r="AD55" s="37"/>
    </row>
    <row r="56" spans="1:30">
      <c r="A56" s="58" t="s">
        <v>444</v>
      </c>
      <c r="B56" s="68">
        <f t="shared" ref="B56:AB56" si="18">B50*B36</f>
        <v>39.929178239999992</v>
      </c>
      <c r="C56" s="68">
        <f t="shared" si="18"/>
        <v>40.79882776768001</v>
      </c>
      <c r="D56" s="68">
        <f t="shared" si="18"/>
        <v>42.623348970053762</v>
      </c>
      <c r="E56" s="68">
        <f t="shared" si="18"/>
        <v>33.426337756844134</v>
      </c>
      <c r="F56" s="68">
        <f t="shared" si="18"/>
        <v>34.555612760502044</v>
      </c>
      <c r="G56" s="68">
        <f t="shared" si="18"/>
        <v>39.72688253622556</v>
      </c>
      <c r="H56" s="68">
        <f t="shared" si="18"/>
        <v>45.838862361979132</v>
      </c>
      <c r="I56" s="68">
        <f t="shared" si="18"/>
        <v>46.554931838512992</v>
      </c>
      <c r="J56" s="68">
        <f t="shared" si="18"/>
        <v>46.686387369382572</v>
      </c>
      <c r="K56" s="68">
        <f t="shared" si="18"/>
        <v>46.302701360968264</v>
      </c>
      <c r="L56" s="68">
        <f t="shared" si="18"/>
        <v>44.600226222495046</v>
      </c>
      <c r="M56" s="68">
        <f t="shared" si="18"/>
        <v>41.645554366052501</v>
      </c>
      <c r="N56" s="68">
        <f t="shared" si="18"/>
        <v>43.104020887253924</v>
      </c>
      <c r="O56" s="68">
        <f t="shared" si="18"/>
        <v>44.04905404570961</v>
      </c>
      <c r="P56" s="68">
        <f t="shared" si="18"/>
        <v>46.035722999390096</v>
      </c>
      <c r="Q56" s="68">
        <f t="shared" si="18"/>
        <v>44.188601791315186</v>
      </c>
      <c r="R56" s="68">
        <f t="shared" si="18"/>
        <v>45.772866011348697</v>
      </c>
      <c r="S56" s="68">
        <f t="shared" si="18"/>
        <v>47.77653077387324</v>
      </c>
      <c r="T56" s="68">
        <f t="shared" si="18"/>
        <v>49.552289253545297</v>
      </c>
      <c r="U56" s="68">
        <f t="shared" si="18"/>
        <v>50.330439241531202</v>
      </c>
      <c r="V56" s="68">
        <f t="shared" si="18"/>
        <v>50.465025000303704</v>
      </c>
      <c r="W56" s="68">
        <f t="shared" si="18"/>
        <v>50.030987236199238</v>
      </c>
      <c r="X56" s="68">
        <f t="shared" si="18"/>
        <v>48.178656027495904</v>
      </c>
      <c r="Y56" s="68">
        <f t="shared" si="18"/>
        <v>44.999212994092176</v>
      </c>
      <c r="Z56" s="68">
        <f t="shared" si="18"/>
        <v>46.412473555738089</v>
      </c>
      <c r="AA56" s="68">
        <f t="shared" si="18"/>
        <v>47.433046111525336</v>
      </c>
      <c r="AB56" s="68">
        <f t="shared" si="18"/>
        <v>49.584612294293535</v>
      </c>
      <c r="AC56" s="8" t="s">
        <v>408</v>
      </c>
      <c r="AD56" s="9"/>
    </row>
    <row r="57" spans="1:30">
      <c r="A57" s="56" t="s">
        <v>445</v>
      </c>
      <c r="B57" s="67">
        <f t="shared" ref="B57:AB57" si="19">B50-SUM(B52:B56)</f>
        <v>102.9329280566667</v>
      </c>
      <c r="C57" s="67">
        <f t="shared" si="19"/>
        <v>106.69067213881249</v>
      </c>
      <c r="D57" s="67">
        <f t="shared" si="19"/>
        <v>114.60824755622457</v>
      </c>
      <c r="E57" s="67">
        <f t="shared" si="19"/>
        <v>74.502960055609151</v>
      </c>
      <c r="F57" s="67">
        <f t="shared" si="19"/>
        <v>79.395278069856204</v>
      </c>
      <c r="G57" s="67">
        <f t="shared" si="19"/>
        <v>101.89011456460275</v>
      </c>
      <c r="H57" s="67">
        <f t="shared" si="19"/>
        <v>128.47317830972452</v>
      </c>
      <c r="I57" s="67">
        <f t="shared" si="19"/>
        <v>131.55434326672832</v>
      </c>
      <c r="J57" s="67">
        <f t="shared" si="19"/>
        <v>132.08976462750843</v>
      </c>
      <c r="K57" s="67">
        <f t="shared" si="19"/>
        <v>130.38318349292831</v>
      </c>
      <c r="L57" s="67">
        <f t="shared" si="19"/>
        <v>122.93884006927658</v>
      </c>
      <c r="M57" s="67">
        <f t="shared" si="19"/>
        <v>110.04952670857347</v>
      </c>
      <c r="N57" s="67">
        <f t="shared" si="19"/>
        <v>97.207595668263025</v>
      </c>
      <c r="O57" s="67">
        <f t="shared" si="19"/>
        <v>100.96766001596188</v>
      </c>
      <c r="P57" s="67">
        <f t="shared" si="19"/>
        <v>108.86573008498658</v>
      </c>
      <c r="Q57" s="67">
        <f t="shared" si="19"/>
        <v>101.53454444032388</v>
      </c>
      <c r="R57" s="67">
        <f t="shared" si="19"/>
        <v>107.83452057373029</v>
      </c>
      <c r="S57" s="67">
        <f t="shared" si="19"/>
        <v>115.80110511955502</v>
      </c>
      <c r="T57" s="67">
        <f t="shared" si="19"/>
        <v>122.86276206478556</v>
      </c>
      <c r="U57" s="67">
        <f t="shared" si="19"/>
        <v>125.96130726200352</v>
      </c>
      <c r="V57" s="67">
        <f t="shared" si="19"/>
        <v>126.50301659346871</v>
      </c>
      <c r="W57" s="67">
        <f t="shared" si="19"/>
        <v>124.78538842289015</v>
      </c>
      <c r="X57" s="67">
        <f t="shared" si="19"/>
        <v>117.43203430514734</v>
      </c>
      <c r="Y57" s="67">
        <f t="shared" si="19"/>
        <v>104.80469595990223</v>
      </c>
      <c r="Z57" s="67">
        <f t="shared" si="19"/>
        <v>101.82300121820822</v>
      </c>
      <c r="AA57" s="67">
        <f t="shared" si="19"/>
        <v>105.77372062884228</v>
      </c>
      <c r="AB57" s="67">
        <f t="shared" si="19"/>
        <v>114.08208829390628</v>
      </c>
      <c r="AC57" s="35" t="s">
        <v>408</v>
      </c>
      <c r="AD57" s="37"/>
    </row>
    <row r="58" spans="1:30">
      <c r="A58" s="58" t="s">
        <v>446</v>
      </c>
      <c r="B58" s="20">
        <f t="shared" ref="B58:AB58" si="20">B57/B50</f>
        <v>0.16498479773438657</v>
      </c>
      <c r="C58" s="20">
        <f t="shared" si="20"/>
        <v>0.16736272560980689</v>
      </c>
      <c r="D58" s="20">
        <f t="shared" si="20"/>
        <v>0.17208708421179511</v>
      </c>
      <c r="E58" s="20">
        <f t="shared" si="20"/>
        <v>0.14264767735683775</v>
      </c>
      <c r="F58" s="20">
        <f t="shared" si="20"/>
        <v>0.14704695968461748</v>
      </c>
      <c r="G58" s="20">
        <f t="shared" si="20"/>
        <v>0.16414495464597137</v>
      </c>
      <c r="H58" s="20">
        <f t="shared" si="20"/>
        <v>0.17937363599674128</v>
      </c>
      <c r="I58" s="20">
        <f t="shared" si="20"/>
        <v>0.1808503983697281</v>
      </c>
      <c r="J58" s="20">
        <f t="shared" si="20"/>
        <v>0.18107515728888021</v>
      </c>
      <c r="K58" s="20">
        <f t="shared" si="20"/>
        <v>0.18021677997780031</v>
      </c>
      <c r="L58" s="20">
        <f t="shared" si="20"/>
        <v>0.17641358420880093</v>
      </c>
      <c r="M58" s="20">
        <f t="shared" si="20"/>
        <v>0.16912176621401787</v>
      </c>
      <c r="N58" s="20">
        <f t="shared" si="20"/>
        <v>0.14433192065867106</v>
      </c>
      <c r="O58" s="20">
        <f t="shared" si="20"/>
        <v>0.1466985019545716</v>
      </c>
      <c r="P58" s="20">
        <f t="shared" si="20"/>
        <v>0.15134782884872794</v>
      </c>
      <c r="Q58" s="20">
        <f t="shared" si="20"/>
        <v>0.14705626747071876</v>
      </c>
      <c r="R58" s="20">
        <f t="shared" si="20"/>
        <v>0.15077511893198117</v>
      </c>
      <c r="S58" s="20">
        <f t="shared" si="20"/>
        <v>0.15512366862150653</v>
      </c>
      <c r="T58" s="20">
        <f t="shared" si="20"/>
        <v>0.15868523716255328</v>
      </c>
      <c r="U58" s="20">
        <f t="shared" si="20"/>
        <v>0.16017193146441075</v>
      </c>
      <c r="V58" s="20">
        <f t="shared" si="20"/>
        <v>0.1604317656026778</v>
      </c>
      <c r="W58" s="20">
        <f t="shared" si="20"/>
        <v>0.15962636958094276</v>
      </c>
      <c r="X58" s="20">
        <f t="shared" si="20"/>
        <v>0.15599543065792856</v>
      </c>
      <c r="Y58" s="20">
        <f t="shared" si="20"/>
        <v>0.14905817446883687</v>
      </c>
      <c r="Z58" s="20">
        <f t="shared" si="20"/>
        <v>0.14040777357275014</v>
      </c>
      <c r="AA58" s="20">
        <f t="shared" si="20"/>
        <v>0.14271733896931912</v>
      </c>
      <c r="AB58" s="20">
        <f t="shared" si="20"/>
        <v>0.14724837632037449</v>
      </c>
      <c r="AC58" s="8" t="s">
        <v>78</v>
      </c>
      <c r="AD58" s="9"/>
    </row>
    <row r="59" spans="1:30">
      <c r="A59" s="56" t="s">
        <v>447</v>
      </c>
      <c r="B59" s="67">
        <f t="shared" ref="B59:AB59" si="21">SUM(B52:B54)</f>
        <v>381.82276691999994</v>
      </c>
      <c r="C59" s="67">
        <f t="shared" si="21"/>
        <v>390.1721748560243</v>
      </c>
      <c r="D59" s="67">
        <f t="shared" si="21"/>
        <v>407.65535555290933</v>
      </c>
      <c r="E59" s="67">
        <f t="shared" si="21"/>
        <v>319.72100256962199</v>
      </c>
      <c r="F59" s="67">
        <f t="shared" si="21"/>
        <v>330.55030999692491</v>
      </c>
      <c r="G59" s="67">
        <f t="shared" si="21"/>
        <v>380.04924491107914</v>
      </c>
      <c r="H59" s="67">
        <f t="shared" si="21"/>
        <v>438.55640030262037</v>
      </c>
      <c r="I59" s="67">
        <f t="shared" si="21"/>
        <v>445.44426508923635</v>
      </c>
      <c r="J59" s="67">
        <f t="shared" si="21"/>
        <v>446.73895119728121</v>
      </c>
      <c r="K59" s="67">
        <f t="shared" si="21"/>
        <v>443.10390368346833</v>
      </c>
      <c r="L59" s="67">
        <f t="shared" si="21"/>
        <v>426.84660103868833</v>
      </c>
      <c r="M59" s="67">
        <f t="shared" si="21"/>
        <v>398.60134214798035</v>
      </c>
      <c r="N59" s="67">
        <f t="shared" si="21"/>
        <v>428.87585345480852</v>
      </c>
      <c r="O59" s="67">
        <f t="shared" si="21"/>
        <v>438.27242260998497</v>
      </c>
      <c r="P59" s="67">
        <f t="shared" si="21"/>
        <v>458.03250938048069</v>
      </c>
      <c r="Q59" s="67">
        <f t="shared" si="21"/>
        <v>439.64830445647567</v>
      </c>
      <c r="R59" s="67">
        <f t="shared" si="21"/>
        <v>455.40425676134817</v>
      </c>
      <c r="S59" s="67">
        <f t="shared" si="21"/>
        <v>475.3324425812948</v>
      </c>
      <c r="T59" s="67">
        <f t="shared" si="21"/>
        <v>492.99267322024878</v>
      </c>
      <c r="U59" s="67">
        <f t="shared" si="21"/>
        <v>500.72743488702213</v>
      </c>
      <c r="V59" s="67">
        <f t="shared" si="21"/>
        <v>502.05941166596773</v>
      </c>
      <c r="W59" s="67">
        <f t="shared" si="21"/>
        <v>497.73442033940444</v>
      </c>
      <c r="X59" s="67">
        <f t="shared" si="21"/>
        <v>479.29985091098058</v>
      </c>
      <c r="Y59" s="67">
        <f t="shared" si="21"/>
        <v>447.66338077555804</v>
      </c>
      <c r="Z59" s="67">
        <f t="shared" si="21"/>
        <v>467.39495406558291</v>
      </c>
      <c r="AA59" s="67">
        <f t="shared" si="21"/>
        <v>477.65251820504955</v>
      </c>
      <c r="AB59" s="67">
        <f t="shared" si="21"/>
        <v>499.29798599071148</v>
      </c>
      <c r="AC59" s="35" t="s">
        <v>408</v>
      </c>
      <c r="AD59" s="37"/>
    </row>
    <row r="60" spans="1:30">
      <c r="A60" s="58" t="s">
        <v>448</v>
      </c>
      <c r="B60" s="68">
        <f t="shared" ref="B60:J60" si="22">B50*(B37+0)/30</f>
        <v>1164.6010319999998</v>
      </c>
      <c r="C60" s="68">
        <f t="shared" si="22"/>
        <v>1185.7159319981999</v>
      </c>
      <c r="D60" s="68">
        <f t="shared" si="22"/>
        <v>1234.3011472578069</v>
      </c>
      <c r="E60" s="68">
        <f t="shared" si="22"/>
        <v>964.48912069227345</v>
      </c>
      <c r="F60" s="68">
        <f t="shared" si="22"/>
        <v>993.47386686443383</v>
      </c>
      <c r="G60" s="68">
        <f t="shared" si="22"/>
        <v>1138.0096559856281</v>
      </c>
      <c r="H60" s="68">
        <f t="shared" si="22"/>
        <v>1308.3175299148211</v>
      </c>
      <c r="I60" s="68">
        <f t="shared" si="22"/>
        <v>1323.9058741577132</v>
      </c>
      <c r="J60" s="68">
        <f t="shared" si="22"/>
        <v>1322.7809754658397</v>
      </c>
      <c r="K60" s="68">
        <f t="shared" ref="K60:AB60" si="23">K50*(K37+$R$7)/30</f>
        <v>1307.0866738356667</v>
      </c>
      <c r="L60" s="68">
        <f t="shared" si="23"/>
        <v>1254.3813625076732</v>
      </c>
      <c r="M60" s="68">
        <f t="shared" si="23"/>
        <v>1166.9431379654295</v>
      </c>
      <c r="N60" s="68">
        <f t="shared" si="23"/>
        <v>1203.3205831025052</v>
      </c>
      <c r="O60" s="68">
        <f t="shared" si="23"/>
        <v>1225.1143156462983</v>
      </c>
      <c r="P60" s="68">
        <f t="shared" si="23"/>
        <v>1275.5731581081009</v>
      </c>
      <c r="Q60" s="68">
        <f t="shared" si="23"/>
        <v>1219.7895286144296</v>
      </c>
      <c r="R60" s="68">
        <f t="shared" si="23"/>
        <v>1258.753815312089</v>
      </c>
      <c r="S60" s="68">
        <f t="shared" si="23"/>
        <v>1308.8778743259022</v>
      </c>
      <c r="T60" s="68">
        <f t="shared" si="23"/>
        <v>1352.3645608780071</v>
      </c>
      <c r="U60" s="68">
        <f t="shared" si="23"/>
        <v>1368.3588168791296</v>
      </c>
      <c r="V60" s="68">
        <f t="shared" si="23"/>
        <v>1366.7610937582251</v>
      </c>
      <c r="W60" s="68">
        <f t="shared" si="23"/>
        <v>1349.7943431432918</v>
      </c>
      <c r="X60" s="68">
        <f t="shared" si="23"/>
        <v>1294.8013807389523</v>
      </c>
      <c r="Y60" s="68">
        <f t="shared" si="23"/>
        <v>1204.6664311960092</v>
      </c>
      <c r="Z60" s="68">
        <f t="shared" si="23"/>
        <v>1237.665961486349</v>
      </c>
      <c r="AA60" s="68">
        <f t="shared" si="23"/>
        <v>1259.9402873373917</v>
      </c>
      <c r="AB60" s="68">
        <f t="shared" si="23"/>
        <v>1311.9262002865164</v>
      </c>
      <c r="AC60" s="8" t="s">
        <v>408</v>
      </c>
      <c r="AD60" s="9"/>
    </row>
    <row r="61" spans="1:30">
      <c r="A61" s="56" t="s">
        <v>449</v>
      </c>
      <c r="B61" s="67">
        <f t="shared" ref="B61:J61" si="24">B59*(B38+0)/30</f>
        <v>916.37464060799982</v>
      </c>
      <c r="C61" s="67">
        <f t="shared" si="24"/>
        <v>933.16178486399144</v>
      </c>
      <c r="D61" s="67">
        <f t="shared" si="24"/>
        <v>971.57859740110064</v>
      </c>
      <c r="E61" s="67">
        <f t="shared" si="24"/>
        <v>759.33738110285219</v>
      </c>
      <c r="F61" s="67">
        <f t="shared" si="24"/>
        <v>782.3024003260557</v>
      </c>
      <c r="G61" s="67">
        <f t="shared" si="24"/>
        <v>896.28280258196162</v>
      </c>
      <c r="H61" s="67">
        <f t="shared" si="24"/>
        <v>1030.6075407111578</v>
      </c>
      <c r="I61" s="67">
        <f t="shared" si="24"/>
        <v>1043.0819874172951</v>
      </c>
      <c r="J61" s="67">
        <f t="shared" si="24"/>
        <v>1042.3908861269895</v>
      </c>
      <c r="K61" s="67">
        <f t="shared" ref="K61:AB61" si="25">K59*(K38+$S$7)/30</f>
        <v>1030.2165760640639</v>
      </c>
      <c r="L61" s="67">
        <f t="shared" si="25"/>
        <v>988.86129240629464</v>
      </c>
      <c r="M61" s="67">
        <f t="shared" si="25"/>
        <v>920.10476479158797</v>
      </c>
      <c r="N61" s="67">
        <f t="shared" si="25"/>
        <v>986.41446294605953</v>
      </c>
      <c r="O61" s="67">
        <f t="shared" si="25"/>
        <v>1004.3743018145489</v>
      </c>
      <c r="P61" s="67">
        <f t="shared" si="25"/>
        <v>1045.8408964187643</v>
      </c>
      <c r="Q61" s="67">
        <f t="shared" si="25"/>
        <v>1000.1998926384822</v>
      </c>
      <c r="R61" s="67">
        <f t="shared" si="25"/>
        <v>1032.2496486590558</v>
      </c>
      <c r="S61" s="67">
        <f t="shared" si="25"/>
        <v>1073.4590994960906</v>
      </c>
      <c r="T61" s="67">
        <f t="shared" si="25"/>
        <v>1109.2335147455597</v>
      </c>
      <c r="U61" s="67">
        <f t="shared" si="25"/>
        <v>1122.4639998717414</v>
      </c>
      <c r="V61" s="67">
        <f t="shared" si="25"/>
        <v>1121.2660193873278</v>
      </c>
      <c r="W61" s="67">
        <f t="shared" si="25"/>
        <v>1107.4590852551748</v>
      </c>
      <c r="X61" s="67">
        <f t="shared" si="25"/>
        <v>1062.4480028526737</v>
      </c>
      <c r="Y61" s="67">
        <f t="shared" si="25"/>
        <v>988.58996587935735</v>
      </c>
      <c r="Z61" s="67">
        <f t="shared" si="25"/>
        <v>1028.2688989442825</v>
      </c>
      <c r="AA61" s="67">
        <f t="shared" si="25"/>
        <v>1046.8551023994003</v>
      </c>
      <c r="AB61" s="67">
        <f t="shared" si="25"/>
        <v>1090.1339360797201</v>
      </c>
      <c r="AC61" s="35" t="s">
        <v>408</v>
      </c>
      <c r="AD61" s="37"/>
    </row>
    <row r="62" spans="1:30">
      <c r="A62" s="58" t="s">
        <v>450</v>
      </c>
      <c r="B62" s="68">
        <f t="shared" ref="B62:AB62" si="26">B52*B39/30</f>
        <v>422.89574974499993</v>
      </c>
      <c r="C62" s="68">
        <f t="shared" si="26"/>
        <v>433.4200927925811</v>
      </c>
      <c r="D62" s="68">
        <f t="shared" si="26"/>
        <v>454.17471188093481</v>
      </c>
      <c r="E62" s="68">
        <f t="shared" si="26"/>
        <v>357.25132443557794</v>
      </c>
      <c r="F62" s="68">
        <f t="shared" si="26"/>
        <v>370.43242669342777</v>
      </c>
      <c r="G62" s="68">
        <f t="shared" si="26"/>
        <v>427.14560209833888</v>
      </c>
      <c r="H62" s="68">
        <f t="shared" si="26"/>
        <v>494.33581324867453</v>
      </c>
      <c r="I62" s="68">
        <f t="shared" si="26"/>
        <v>503.55451777631714</v>
      </c>
      <c r="J62" s="68">
        <f t="shared" si="26"/>
        <v>506.47664402593665</v>
      </c>
      <c r="K62" s="68">
        <f t="shared" si="26"/>
        <v>503.80173446634069</v>
      </c>
      <c r="L62" s="68">
        <f t="shared" si="26"/>
        <v>486.71016687543658</v>
      </c>
      <c r="M62" s="68">
        <f t="shared" si="26"/>
        <v>455.80376877050338</v>
      </c>
      <c r="N62" s="68">
        <f t="shared" si="26"/>
        <v>500.39474413069661</v>
      </c>
      <c r="O62" s="68">
        <f t="shared" si="26"/>
        <v>512.76706892030165</v>
      </c>
      <c r="P62" s="68">
        <f t="shared" si="26"/>
        <v>537.35781457380472</v>
      </c>
      <c r="Q62" s="68">
        <f t="shared" si="26"/>
        <v>517.20226758090132</v>
      </c>
      <c r="R62" s="68">
        <f t="shared" si="26"/>
        <v>537.20042333909214</v>
      </c>
      <c r="S62" s="68">
        <f t="shared" si="26"/>
        <v>562.23447551435231</v>
      </c>
      <c r="T62" s="68">
        <f t="shared" si="26"/>
        <v>584.70629464441822</v>
      </c>
      <c r="U62" s="68">
        <f t="shared" si="26"/>
        <v>595.48734339363193</v>
      </c>
      <c r="V62" s="68">
        <f t="shared" si="26"/>
        <v>598.68266228596872</v>
      </c>
      <c r="W62" s="68">
        <f t="shared" si="26"/>
        <v>595.12235020265462</v>
      </c>
      <c r="X62" s="68">
        <f t="shared" si="26"/>
        <v>574.61838205002414</v>
      </c>
      <c r="Y62" s="68">
        <f t="shared" si="26"/>
        <v>538.12611047848964</v>
      </c>
      <c r="Z62" s="68">
        <f t="shared" si="26"/>
        <v>566.22861982012125</v>
      </c>
      <c r="AA62" s="68">
        <f t="shared" si="26"/>
        <v>580.18041340033653</v>
      </c>
      <c r="AB62" s="68">
        <f t="shared" si="26"/>
        <v>608.06608150507236</v>
      </c>
      <c r="AC62" s="8" t="s">
        <v>408</v>
      </c>
      <c r="AD62" s="9"/>
    </row>
    <row r="63" spans="1:30">
      <c r="A63" s="56" t="s">
        <v>451</v>
      </c>
      <c r="B63" s="67">
        <f t="shared" ref="B63:AB63" si="27">B60+B61-B62</f>
        <v>1658.0799228629996</v>
      </c>
      <c r="C63" s="67">
        <f t="shared" si="27"/>
        <v>1685.4576240696103</v>
      </c>
      <c r="D63" s="67">
        <f t="shared" si="27"/>
        <v>1751.7050327779725</v>
      </c>
      <c r="E63" s="67">
        <f t="shared" si="27"/>
        <v>1366.5751773595478</v>
      </c>
      <c r="F63" s="67">
        <f t="shared" si="27"/>
        <v>1405.3438404970618</v>
      </c>
      <c r="G63" s="67">
        <f t="shared" si="27"/>
        <v>1607.1468564692507</v>
      </c>
      <c r="H63" s="67">
        <f t="shared" si="27"/>
        <v>1844.5892573773044</v>
      </c>
      <c r="I63" s="67">
        <f t="shared" si="27"/>
        <v>1863.4333437986913</v>
      </c>
      <c r="J63" s="67">
        <f t="shared" si="27"/>
        <v>1858.6952175668928</v>
      </c>
      <c r="K63" s="67">
        <f t="shared" si="27"/>
        <v>1833.5015154333901</v>
      </c>
      <c r="L63" s="67">
        <f t="shared" si="27"/>
        <v>1756.532488038531</v>
      </c>
      <c r="M63" s="67">
        <f t="shared" si="27"/>
        <v>1631.2441339865138</v>
      </c>
      <c r="N63" s="67">
        <f t="shared" si="27"/>
        <v>1689.3403019178684</v>
      </c>
      <c r="O63" s="67">
        <f t="shared" si="27"/>
        <v>1716.7215485405457</v>
      </c>
      <c r="P63" s="67">
        <f t="shared" si="27"/>
        <v>1784.0562399530604</v>
      </c>
      <c r="Q63" s="67">
        <f t="shared" si="27"/>
        <v>1702.7871536720104</v>
      </c>
      <c r="R63" s="67">
        <f t="shared" si="27"/>
        <v>1753.8030406320527</v>
      </c>
      <c r="S63" s="67">
        <f t="shared" si="27"/>
        <v>1820.1024983076404</v>
      </c>
      <c r="T63" s="67">
        <f t="shared" si="27"/>
        <v>1876.8917809791485</v>
      </c>
      <c r="U63" s="67">
        <f t="shared" si="27"/>
        <v>1895.3354733572392</v>
      </c>
      <c r="V63" s="67">
        <f t="shared" si="27"/>
        <v>1889.3444508595842</v>
      </c>
      <c r="W63" s="67">
        <f t="shared" si="27"/>
        <v>1862.1310781958123</v>
      </c>
      <c r="X63" s="67">
        <f t="shared" si="27"/>
        <v>1782.6310015416016</v>
      </c>
      <c r="Y63" s="67">
        <f t="shared" si="27"/>
        <v>1655.1302865968767</v>
      </c>
      <c r="Z63" s="67">
        <f t="shared" si="27"/>
        <v>1699.7062406105101</v>
      </c>
      <c r="AA63" s="67">
        <f t="shared" si="27"/>
        <v>1726.6149763364556</v>
      </c>
      <c r="AB63" s="67">
        <f t="shared" si="27"/>
        <v>1793.9940548611639</v>
      </c>
      <c r="AC63" s="35" t="s">
        <v>408</v>
      </c>
      <c r="AD63" s="37"/>
    </row>
    <row r="64" spans="1:30">
      <c r="A64" s="58" t="s">
        <v>452</v>
      </c>
      <c r="B64" s="68">
        <v>0</v>
      </c>
      <c r="C64" s="68">
        <f t="shared" ref="C64:AB64" si="28">C63-B63</f>
        <v>27.377701206610709</v>
      </c>
      <c r="D64" s="68">
        <f t="shared" si="28"/>
        <v>66.247408708362173</v>
      </c>
      <c r="E64" s="68">
        <f t="shared" si="28"/>
        <v>-385.12985541842477</v>
      </c>
      <c r="F64" s="68">
        <f t="shared" si="28"/>
        <v>38.768663137514068</v>
      </c>
      <c r="G64" s="68">
        <f t="shared" si="28"/>
        <v>201.80301597218886</v>
      </c>
      <c r="H64" s="68">
        <f t="shared" si="28"/>
        <v>237.44240090805374</v>
      </c>
      <c r="I64" s="68">
        <f t="shared" si="28"/>
        <v>18.844086421386919</v>
      </c>
      <c r="J64" s="68">
        <f t="shared" si="28"/>
        <v>-4.7381262317985602</v>
      </c>
      <c r="K64" s="68">
        <f t="shared" si="28"/>
        <v>-25.193702133502711</v>
      </c>
      <c r="L64" s="68">
        <f t="shared" si="28"/>
        <v>-76.96902739485904</v>
      </c>
      <c r="M64" s="68">
        <f t="shared" si="28"/>
        <v>-125.28835405201721</v>
      </c>
      <c r="N64" s="68">
        <f t="shared" si="28"/>
        <v>58.096167931354557</v>
      </c>
      <c r="O64" s="68">
        <f t="shared" si="28"/>
        <v>27.381246622677281</v>
      </c>
      <c r="P64" s="68">
        <f t="shared" si="28"/>
        <v>67.334691412514758</v>
      </c>
      <c r="Q64" s="68">
        <f t="shared" si="28"/>
        <v>-81.269086281050022</v>
      </c>
      <c r="R64" s="68">
        <f t="shared" si="28"/>
        <v>51.01588696004228</v>
      </c>
      <c r="S64" s="68">
        <f t="shared" si="28"/>
        <v>66.299457675587746</v>
      </c>
      <c r="T64" s="68">
        <f t="shared" si="28"/>
        <v>56.78928267150809</v>
      </c>
      <c r="U64" s="68">
        <f t="shared" si="28"/>
        <v>18.443692378090645</v>
      </c>
      <c r="V64" s="68">
        <f t="shared" si="28"/>
        <v>-5.9910224976549671</v>
      </c>
      <c r="W64" s="68">
        <f t="shared" si="28"/>
        <v>-27.213372663771906</v>
      </c>
      <c r="X64" s="68">
        <f t="shared" si="28"/>
        <v>-79.500076654210716</v>
      </c>
      <c r="Y64" s="68">
        <f t="shared" si="28"/>
        <v>-127.5007149447249</v>
      </c>
      <c r="Z64" s="68">
        <f t="shared" si="28"/>
        <v>44.575954013633464</v>
      </c>
      <c r="AA64" s="68">
        <f t="shared" si="28"/>
        <v>26.908735725945462</v>
      </c>
      <c r="AB64" s="68">
        <f t="shared" si="28"/>
        <v>67.379078524708348</v>
      </c>
      <c r="AC64" s="8" t="s">
        <v>408</v>
      </c>
      <c r="AD64" s="9"/>
    </row>
    <row r="65" spans="1:30">
      <c r="A65" s="56" t="s">
        <v>453</v>
      </c>
      <c r="B65" s="67">
        <f t="shared" ref="B65:J65" si="29">B50*B40*1</f>
        <v>28.075203449999993</v>
      </c>
      <c r="C65" s="67">
        <f t="shared" si="29"/>
        <v>28.686675774150004</v>
      </c>
      <c r="D65" s="67">
        <f t="shared" si="29"/>
        <v>29.969542244569048</v>
      </c>
      <c r="E65" s="67">
        <f t="shared" si="29"/>
        <v>23.502893735281031</v>
      </c>
      <c r="F65" s="67">
        <f t="shared" si="29"/>
        <v>24.296915222227998</v>
      </c>
      <c r="G65" s="67">
        <f t="shared" si="29"/>
        <v>27.932964283283596</v>
      </c>
      <c r="H65" s="67">
        <f t="shared" si="29"/>
        <v>32.230450098266573</v>
      </c>
      <c r="I65" s="67">
        <f t="shared" si="29"/>
        <v>32.733936448954445</v>
      </c>
      <c r="J65" s="67">
        <f t="shared" si="29"/>
        <v>32.826366119097123</v>
      </c>
      <c r="K65" s="67">
        <f t="shared" ref="K65:AB65" si="30">K50*K40*$T$7</f>
        <v>32.556586894430808</v>
      </c>
      <c r="L65" s="67">
        <f t="shared" si="30"/>
        <v>31.359534062691829</v>
      </c>
      <c r="M65" s="67">
        <f t="shared" si="30"/>
        <v>29.282030413630665</v>
      </c>
      <c r="N65" s="67">
        <f t="shared" si="30"/>
        <v>32.328015665440439</v>
      </c>
      <c r="O65" s="67">
        <f t="shared" si="30"/>
        <v>33.036790534282204</v>
      </c>
      <c r="P65" s="67">
        <f t="shared" si="30"/>
        <v>34.526792249542574</v>
      </c>
      <c r="Q65" s="67">
        <f t="shared" si="30"/>
        <v>33.141451343486395</v>
      </c>
      <c r="R65" s="67">
        <f t="shared" si="30"/>
        <v>34.329649508511523</v>
      </c>
      <c r="S65" s="67">
        <f t="shared" si="30"/>
        <v>35.832398080404928</v>
      </c>
      <c r="T65" s="67">
        <f t="shared" si="30"/>
        <v>37.164216940158973</v>
      </c>
      <c r="U65" s="67">
        <f t="shared" si="30"/>
        <v>37.747829431148404</v>
      </c>
      <c r="V65" s="67">
        <f t="shared" si="30"/>
        <v>37.848768750227777</v>
      </c>
      <c r="W65" s="67">
        <f t="shared" si="30"/>
        <v>37.523240427149432</v>
      </c>
      <c r="X65" s="67">
        <f t="shared" si="30"/>
        <v>36.133992020621932</v>
      </c>
      <c r="Y65" s="67">
        <f t="shared" si="30"/>
        <v>33.749409745569132</v>
      </c>
      <c r="Z65" s="67">
        <f t="shared" si="30"/>
        <v>34.809355166803563</v>
      </c>
      <c r="AA65" s="67">
        <f t="shared" si="30"/>
        <v>35.574784583644004</v>
      </c>
      <c r="AB65" s="67">
        <f t="shared" si="30"/>
        <v>37.188459220720148</v>
      </c>
      <c r="AC65" s="35" t="s">
        <v>408</v>
      </c>
      <c r="AD65" s="37"/>
    </row>
    <row r="66" spans="1:30">
      <c r="A66" s="58" t="s">
        <v>454</v>
      </c>
      <c r="B66" s="68">
        <f t="shared" ref="B66:AB66" si="31">MAX(0,B57*B41)</f>
        <v>18.527927050200006</v>
      </c>
      <c r="C66" s="68">
        <f t="shared" si="31"/>
        <v>19.204320984986246</v>
      </c>
      <c r="D66" s="68">
        <f t="shared" si="31"/>
        <v>20.629484560120421</v>
      </c>
      <c r="E66" s="68">
        <f t="shared" si="31"/>
        <v>13.410532810009647</v>
      </c>
      <c r="F66" s="68">
        <f t="shared" si="31"/>
        <v>14.291150052574116</v>
      </c>
      <c r="G66" s="68">
        <f t="shared" si="31"/>
        <v>18.340220621628497</v>
      </c>
      <c r="H66" s="68">
        <f t="shared" si="31"/>
        <v>23.125172095750411</v>
      </c>
      <c r="I66" s="68">
        <f t="shared" si="31"/>
        <v>23.679781788011098</v>
      </c>
      <c r="J66" s="68">
        <f t="shared" si="31"/>
        <v>23.776157632951517</v>
      </c>
      <c r="K66" s="68">
        <f t="shared" si="31"/>
        <v>23.468973028727095</v>
      </c>
      <c r="L66" s="68">
        <f t="shared" si="31"/>
        <v>22.128991212469785</v>
      </c>
      <c r="M66" s="68">
        <f t="shared" si="31"/>
        <v>19.808914807543225</v>
      </c>
      <c r="N66" s="68">
        <f t="shared" si="31"/>
        <v>17.497367220287344</v>
      </c>
      <c r="O66" s="68">
        <f t="shared" si="31"/>
        <v>18.17417880287314</v>
      </c>
      <c r="P66" s="68">
        <f t="shared" si="31"/>
        <v>19.595831415297585</v>
      </c>
      <c r="Q66" s="68">
        <f t="shared" si="31"/>
        <v>18.2762179992583</v>
      </c>
      <c r="R66" s="68">
        <f t="shared" si="31"/>
        <v>19.410213703271452</v>
      </c>
      <c r="S66" s="68">
        <f t="shared" si="31"/>
        <v>20.844198921519901</v>
      </c>
      <c r="T66" s="68">
        <f t="shared" si="31"/>
        <v>22.1152971716614</v>
      </c>
      <c r="U66" s="68">
        <f t="shared" si="31"/>
        <v>22.673035307160632</v>
      </c>
      <c r="V66" s="68">
        <f t="shared" si="31"/>
        <v>22.770542986824367</v>
      </c>
      <c r="W66" s="68">
        <f t="shared" si="31"/>
        <v>22.461369916120226</v>
      </c>
      <c r="X66" s="68">
        <f t="shared" si="31"/>
        <v>21.137766174926519</v>
      </c>
      <c r="Y66" s="68">
        <f t="shared" si="31"/>
        <v>18.8648452727824</v>
      </c>
      <c r="Z66" s="68">
        <f t="shared" si="31"/>
        <v>18.328140219277479</v>
      </c>
      <c r="AA66" s="68">
        <f t="shared" si="31"/>
        <v>19.039269713191612</v>
      </c>
      <c r="AB66" s="68">
        <f t="shared" si="31"/>
        <v>20.534775892903131</v>
      </c>
      <c r="AC66" s="8" t="s">
        <v>408</v>
      </c>
      <c r="AD66" s="9"/>
    </row>
    <row r="67" spans="1:30">
      <c r="A67" s="56" t="s">
        <v>455</v>
      </c>
      <c r="B67" s="67">
        <f t="shared" ref="B67:AB67" si="32">B57-B65-B66-B64</f>
        <v>56.329797556466701</v>
      </c>
      <c r="C67" s="67">
        <f t="shared" si="32"/>
        <v>31.421974173065529</v>
      </c>
      <c r="D67" s="67">
        <f t="shared" si="32"/>
        <v>-2.2381879568270762</v>
      </c>
      <c r="E67" s="67">
        <f t="shared" si="32"/>
        <v>422.71938892874323</v>
      </c>
      <c r="F67" s="67">
        <f t="shared" si="32"/>
        <v>2.0385496575400239</v>
      </c>
      <c r="G67" s="67">
        <f t="shared" si="32"/>
        <v>-146.18608631249819</v>
      </c>
      <c r="H67" s="67">
        <f t="shared" si="32"/>
        <v>-164.3248447923462</v>
      </c>
      <c r="I67" s="67">
        <f t="shared" si="32"/>
        <v>56.296538608375869</v>
      </c>
      <c r="J67" s="67">
        <f t="shared" si="32"/>
        <v>80.225367107258364</v>
      </c>
      <c r="K67" s="67">
        <f t="shared" si="32"/>
        <v>99.551325703273122</v>
      </c>
      <c r="L67" s="67">
        <f t="shared" si="32"/>
        <v>146.41934218897399</v>
      </c>
      <c r="M67" s="67">
        <f t="shared" si="32"/>
        <v>186.2469355394168</v>
      </c>
      <c r="N67" s="67">
        <f t="shared" si="32"/>
        <v>-10.713955148819309</v>
      </c>
      <c r="O67" s="67">
        <f t="shared" si="32"/>
        <v>22.375444056129254</v>
      </c>
      <c r="P67" s="67">
        <f t="shared" si="32"/>
        <v>-12.59158499236834</v>
      </c>
      <c r="Q67" s="67">
        <f t="shared" si="32"/>
        <v>131.38596137862922</v>
      </c>
      <c r="R67" s="67">
        <f t="shared" si="32"/>
        <v>3.0787704019050324</v>
      </c>
      <c r="S67" s="67">
        <f t="shared" si="32"/>
        <v>-7.1749495579575608</v>
      </c>
      <c r="T67" s="67">
        <f t="shared" si="32"/>
        <v>6.7939652814570906</v>
      </c>
      <c r="U67" s="67">
        <f t="shared" si="32"/>
        <v>47.096750145603835</v>
      </c>
      <c r="V67" s="67">
        <f t="shared" si="32"/>
        <v>71.874727354071538</v>
      </c>
      <c r="W67" s="67">
        <f t="shared" si="32"/>
        <v>92.014150743392406</v>
      </c>
      <c r="X67" s="67">
        <f t="shared" si="32"/>
        <v>139.66035276380961</v>
      </c>
      <c r="Y67" s="67">
        <f t="shared" si="32"/>
        <v>179.69115588627562</v>
      </c>
      <c r="Z67" s="67">
        <f t="shared" si="32"/>
        <v>4.1095518184937205</v>
      </c>
      <c r="AA67" s="67">
        <f t="shared" si="32"/>
        <v>24.250930606061203</v>
      </c>
      <c r="AB67" s="67">
        <f t="shared" si="32"/>
        <v>-11.020225344425342</v>
      </c>
      <c r="AC67" s="35" t="s">
        <v>408</v>
      </c>
      <c r="AD67" s="37"/>
    </row>
    <row r="68" spans="1:30">
      <c r="A68" s="64" t="s">
        <v>456</v>
      </c>
      <c r="B68" s="70">
        <f>600+B67</f>
        <v>656.3297975564667</v>
      </c>
      <c r="C68" s="70">
        <f t="shared" ref="C68:AB68" si="33">B68+C67</f>
        <v>687.75177172953227</v>
      </c>
      <c r="D68" s="70">
        <f t="shared" si="33"/>
        <v>685.51358377270515</v>
      </c>
      <c r="E68" s="70">
        <f t="shared" si="33"/>
        <v>1108.2329727014485</v>
      </c>
      <c r="F68" s="70">
        <f t="shared" si="33"/>
        <v>1110.2715223589885</v>
      </c>
      <c r="G68" s="70">
        <f t="shared" si="33"/>
        <v>964.08543604649026</v>
      </c>
      <c r="H68" s="70">
        <f t="shared" si="33"/>
        <v>799.76059125414406</v>
      </c>
      <c r="I68" s="70">
        <f t="shared" si="33"/>
        <v>856.0571298625199</v>
      </c>
      <c r="J68" s="70">
        <f t="shared" si="33"/>
        <v>936.28249696977832</v>
      </c>
      <c r="K68" s="70">
        <f t="shared" si="33"/>
        <v>1035.8338226730514</v>
      </c>
      <c r="L68" s="70">
        <f t="shared" si="33"/>
        <v>1182.2531648620254</v>
      </c>
      <c r="M68" s="70">
        <f t="shared" si="33"/>
        <v>1368.5001004014423</v>
      </c>
      <c r="N68" s="70">
        <f t="shared" si="33"/>
        <v>1357.7861452526231</v>
      </c>
      <c r="O68" s="70">
        <f t="shared" si="33"/>
        <v>1380.1615893087524</v>
      </c>
      <c r="P68" s="70">
        <f t="shared" si="33"/>
        <v>1367.570004316384</v>
      </c>
      <c r="Q68" s="70">
        <f t="shared" si="33"/>
        <v>1498.9559656950132</v>
      </c>
      <c r="R68" s="70">
        <f t="shared" si="33"/>
        <v>1502.0347360969183</v>
      </c>
      <c r="S68" s="70">
        <f t="shared" si="33"/>
        <v>1494.8597865389609</v>
      </c>
      <c r="T68" s="70">
        <f t="shared" si="33"/>
        <v>1501.6537518204179</v>
      </c>
      <c r="U68" s="70">
        <f t="shared" si="33"/>
        <v>1548.7505019660218</v>
      </c>
      <c r="V68" s="70">
        <f t="shared" si="33"/>
        <v>1620.6252293200935</v>
      </c>
      <c r="W68" s="70">
        <f t="shared" si="33"/>
        <v>1712.639380063486</v>
      </c>
      <c r="X68" s="70">
        <f t="shared" si="33"/>
        <v>1852.2997328272957</v>
      </c>
      <c r="Y68" s="70">
        <f t="shared" si="33"/>
        <v>2031.9908887135712</v>
      </c>
      <c r="Z68" s="70">
        <f t="shared" si="33"/>
        <v>2036.1004405320648</v>
      </c>
      <c r="AA68" s="70">
        <f t="shared" si="33"/>
        <v>2060.3513711381261</v>
      </c>
      <c r="AB68" s="70">
        <f t="shared" si="33"/>
        <v>2049.3311457937007</v>
      </c>
      <c r="AC68" s="10" t="s">
        <v>408</v>
      </c>
      <c r="AD68" s="11"/>
    </row>
    <row r="69" spans="1:30">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row>
    <row r="70" spans="1:30" ht="16" customHeight="1">
      <c r="A70" s="195" t="s">
        <v>486</v>
      </c>
      <c r="B70" s="195"/>
      <c r="C70" s="195"/>
      <c r="D70" s="195"/>
      <c r="E70" s="195"/>
      <c r="F70" s="195"/>
      <c r="G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row>
    <row r="71" spans="1:30" ht="25.4" customHeight="1">
      <c r="A71" s="12" t="s">
        <v>369</v>
      </c>
      <c r="B71" s="13" t="s">
        <v>487</v>
      </c>
      <c r="C71" s="13" t="s">
        <v>445</v>
      </c>
      <c r="D71" s="13" t="s">
        <v>488</v>
      </c>
      <c r="E71" s="13" t="s">
        <v>489</v>
      </c>
      <c r="F71" s="13" t="s">
        <v>384</v>
      </c>
      <c r="G71" s="13" t="s">
        <v>490</v>
      </c>
      <c r="H71" s="14" t="s">
        <v>491</v>
      </c>
      <c r="I71" s="4"/>
      <c r="J71" s="1" t="s">
        <v>492</v>
      </c>
      <c r="K71" s="2" t="s">
        <v>408</v>
      </c>
      <c r="L71" s="2" t="s">
        <v>493</v>
      </c>
      <c r="M71" s="3" t="s">
        <v>408</v>
      </c>
      <c r="N71" s="4"/>
      <c r="O71" s="12" t="s">
        <v>494</v>
      </c>
      <c r="P71" s="13" t="s">
        <v>495</v>
      </c>
      <c r="Q71" s="271" t="s">
        <v>461</v>
      </c>
      <c r="R71" s="271" t="s">
        <v>462</v>
      </c>
      <c r="S71" s="271" t="s">
        <v>62</v>
      </c>
      <c r="T71" s="271" t="s">
        <v>463</v>
      </c>
      <c r="U71" s="271" t="s">
        <v>462</v>
      </c>
      <c r="V71" s="271" t="s">
        <v>465</v>
      </c>
      <c r="W71" s="271"/>
      <c r="X71" s="271" t="s">
        <v>62</v>
      </c>
      <c r="Y71" s="271"/>
      <c r="Z71" s="271" t="s">
        <v>496</v>
      </c>
      <c r="AA71" s="271"/>
      <c r="AB71" s="271"/>
      <c r="AC71" s="271"/>
      <c r="AD71" s="272"/>
    </row>
    <row r="72" spans="1:30" ht="28" customHeight="1">
      <c r="A72" s="15" t="s">
        <v>367</v>
      </c>
      <c r="B72" s="16">
        <v>8.8200532228446615</v>
      </c>
      <c r="C72" s="16">
        <v>1.3545603605110181</v>
      </c>
      <c r="D72" s="17">
        <v>0.15357734542945795</v>
      </c>
      <c r="E72" s="16">
        <v>0.66349078831212827</v>
      </c>
      <c r="F72" s="16">
        <v>0.42336255469654366</v>
      </c>
      <c r="G72" s="16">
        <v>1.2392860448511807</v>
      </c>
      <c r="H72" s="7" t="s">
        <v>497</v>
      </c>
      <c r="I72" s="4"/>
      <c r="J72" s="15" t="s">
        <v>498</v>
      </c>
      <c r="K72" s="91">
        <v>8200</v>
      </c>
      <c r="L72" s="6" t="s">
        <v>499</v>
      </c>
      <c r="M72" s="92">
        <v>1390</v>
      </c>
      <c r="N72" s="4"/>
      <c r="O72" s="15">
        <v>1</v>
      </c>
      <c r="P72" s="6" t="s">
        <v>500</v>
      </c>
      <c r="Q72" s="201" t="s">
        <v>501</v>
      </c>
      <c r="R72" s="201" t="s">
        <v>502</v>
      </c>
      <c r="S72" s="201" t="s">
        <v>244</v>
      </c>
      <c r="T72" s="201">
        <v>44180</v>
      </c>
      <c r="U72" s="201" t="s">
        <v>502</v>
      </c>
      <c r="V72" s="201" t="s">
        <v>503</v>
      </c>
      <c r="W72" s="201"/>
      <c r="X72" s="201" t="s">
        <v>244</v>
      </c>
      <c r="Y72" s="201"/>
      <c r="Z72" s="201" t="s">
        <v>504</v>
      </c>
      <c r="AA72" s="201"/>
      <c r="AB72" s="201"/>
      <c r="AC72" s="201"/>
      <c r="AD72" s="202"/>
    </row>
    <row r="73" spans="1:30" ht="28" customHeight="1">
      <c r="A73" s="18" t="s">
        <v>67</v>
      </c>
      <c r="B73" s="19">
        <v>9.2831687118441444</v>
      </c>
      <c r="C73" s="19">
        <v>1.766225167841567</v>
      </c>
      <c r="D73" s="20">
        <v>0.19026102214301979</v>
      </c>
      <c r="E73" s="19">
        <v>0.99787718014505533</v>
      </c>
      <c r="F73" s="19">
        <v>0.49015130798537088</v>
      </c>
      <c r="G73" s="19">
        <v>1.3186784275750343</v>
      </c>
      <c r="H73" s="9" t="s">
        <v>505</v>
      </c>
      <c r="I73" s="4"/>
      <c r="J73" s="18" t="s">
        <v>506</v>
      </c>
      <c r="K73" s="93">
        <v>-310</v>
      </c>
      <c r="L73" s="8" t="s">
        <v>507</v>
      </c>
      <c r="M73" s="94">
        <v>-45</v>
      </c>
      <c r="N73" s="4"/>
      <c r="O73" s="18">
        <v>2</v>
      </c>
      <c r="P73" s="8" t="s">
        <v>508</v>
      </c>
      <c r="Q73" s="205" t="s">
        <v>509</v>
      </c>
      <c r="R73" s="205" t="s">
        <v>510</v>
      </c>
      <c r="S73" s="205" t="s">
        <v>75</v>
      </c>
      <c r="T73" s="205">
        <v>44165</v>
      </c>
      <c r="U73" s="205" t="s">
        <v>510</v>
      </c>
      <c r="V73" s="205" t="s">
        <v>511</v>
      </c>
      <c r="W73" s="205"/>
      <c r="X73" s="205" t="s">
        <v>75</v>
      </c>
      <c r="Y73" s="205"/>
      <c r="Z73" s="205" t="s">
        <v>512</v>
      </c>
      <c r="AA73" s="205"/>
      <c r="AB73" s="205"/>
      <c r="AC73" s="205"/>
      <c r="AD73" s="206"/>
    </row>
    <row r="74" spans="1:30" ht="28" customHeight="1">
      <c r="A74" s="18" t="s">
        <v>68</v>
      </c>
      <c r="B74" s="19">
        <v>8.2292900163982665</v>
      </c>
      <c r="C74" s="19">
        <v>0.80663918135379109</v>
      </c>
      <c r="D74" s="20">
        <v>9.8020507206141069E-2</v>
      </c>
      <c r="E74" s="19">
        <v>0.1978669386968499</v>
      </c>
      <c r="F74" s="19">
        <v>0.31600473662969347</v>
      </c>
      <c r="G74" s="19">
        <v>1.0462036036955895</v>
      </c>
      <c r="H74" s="9" t="s">
        <v>513</v>
      </c>
      <c r="I74" s="4"/>
      <c r="J74" s="18" t="s">
        <v>514</v>
      </c>
      <c r="K74" s="93">
        <v>80</v>
      </c>
      <c r="L74" s="8" t="s">
        <v>515</v>
      </c>
      <c r="M74" s="94">
        <v>35</v>
      </c>
      <c r="N74" s="4"/>
      <c r="O74" s="18">
        <v>3</v>
      </c>
      <c r="P74" s="8" t="s">
        <v>516</v>
      </c>
      <c r="Q74" s="205" t="s">
        <v>517</v>
      </c>
      <c r="R74" s="205" t="s">
        <v>518</v>
      </c>
      <c r="S74" s="205" t="s">
        <v>323</v>
      </c>
      <c r="T74" s="205">
        <v>44196</v>
      </c>
      <c r="U74" s="205" t="s">
        <v>518</v>
      </c>
      <c r="V74" s="205" t="s">
        <v>519</v>
      </c>
      <c r="W74" s="205"/>
      <c r="X74" s="205" t="s">
        <v>323</v>
      </c>
      <c r="Y74" s="205"/>
      <c r="Z74" s="205" t="s">
        <v>520</v>
      </c>
      <c r="AA74" s="205"/>
      <c r="AB74" s="205"/>
      <c r="AC74" s="205"/>
      <c r="AD74" s="206"/>
    </row>
    <row r="75" spans="1:30" ht="28" customHeight="1">
      <c r="A75" s="28" t="s">
        <v>521</v>
      </c>
      <c r="B75" s="95">
        <f t="shared" ref="B75:G75" si="34">MAX(B72:B74)-MIN(B72:B74)</f>
        <v>1.0538786954458779</v>
      </c>
      <c r="C75" s="95">
        <f t="shared" si="34"/>
        <v>0.95958598648777593</v>
      </c>
      <c r="D75" s="29">
        <f t="shared" si="34"/>
        <v>9.2240514936878723E-2</v>
      </c>
      <c r="E75" s="95">
        <f t="shared" si="34"/>
        <v>0.80001024144820543</v>
      </c>
      <c r="F75" s="95">
        <f t="shared" si="34"/>
        <v>0.1741465713556774</v>
      </c>
      <c r="G75" s="95">
        <f t="shared" si="34"/>
        <v>0.27247482387944477</v>
      </c>
      <c r="H75" s="11" t="s">
        <v>522</v>
      </c>
      <c r="I75" s="4"/>
      <c r="J75" s="18" t="s">
        <v>523</v>
      </c>
      <c r="K75" s="93">
        <v>-90</v>
      </c>
      <c r="L75" s="8" t="s">
        <v>524</v>
      </c>
      <c r="M75" s="94">
        <v>-40</v>
      </c>
      <c r="N75" s="4"/>
      <c r="O75" s="18">
        <v>4</v>
      </c>
      <c r="P75" s="8" t="s">
        <v>525</v>
      </c>
      <c r="Q75" s="205" t="s">
        <v>526</v>
      </c>
      <c r="R75" s="205" t="s">
        <v>527</v>
      </c>
      <c r="S75" s="205" t="s">
        <v>333</v>
      </c>
      <c r="T75" s="205">
        <v>44227</v>
      </c>
      <c r="U75" s="205" t="s">
        <v>527</v>
      </c>
      <c r="V75" s="205" t="s">
        <v>528</v>
      </c>
      <c r="W75" s="205"/>
      <c r="X75" s="205" t="s">
        <v>333</v>
      </c>
      <c r="Y75" s="205"/>
      <c r="Z75" s="205" t="s">
        <v>529</v>
      </c>
      <c r="AA75" s="205"/>
      <c r="AB75" s="205"/>
      <c r="AC75" s="205"/>
      <c r="AD75" s="206"/>
    </row>
    <row r="76" spans="1:30" ht="28" customHeight="1">
      <c r="A76" s="4"/>
      <c r="B76" s="4"/>
      <c r="C76" s="4"/>
      <c r="D76" s="4"/>
      <c r="E76" s="4"/>
      <c r="F76" s="4"/>
      <c r="G76" s="4"/>
      <c r="H76" s="4"/>
      <c r="I76" s="4"/>
      <c r="J76" s="18" t="s">
        <v>530</v>
      </c>
      <c r="K76" s="93">
        <v>95</v>
      </c>
      <c r="L76" s="8" t="s">
        <v>381</v>
      </c>
      <c r="M76" s="94">
        <v>18</v>
      </c>
      <c r="N76" s="4"/>
      <c r="O76" s="18">
        <v>5</v>
      </c>
      <c r="P76" s="8" t="s">
        <v>531</v>
      </c>
      <c r="Q76" s="205" t="s">
        <v>532</v>
      </c>
      <c r="R76" s="205" t="s">
        <v>533</v>
      </c>
      <c r="S76" s="205" t="s">
        <v>254</v>
      </c>
      <c r="T76" s="205">
        <v>44255</v>
      </c>
      <c r="U76" s="205" t="s">
        <v>533</v>
      </c>
      <c r="V76" s="205" t="s">
        <v>534</v>
      </c>
      <c r="W76" s="205"/>
      <c r="X76" s="205" t="s">
        <v>254</v>
      </c>
      <c r="Y76" s="205"/>
      <c r="Z76" s="205" t="s">
        <v>535</v>
      </c>
      <c r="AA76" s="205"/>
      <c r="AB76" s="205"/>
      <c r="AC76" s="205"/>
      <c r="AD76" s="206"/>
    </row>
    <row r="77" spans="1:30" ht="28" customHeight="1">
      <c r="A77" s="4"/>
      <c r="B77" s="4"/>
      <c r="C77" s="4"/>
      <c r="D77" s="4"/>
      <c r="E77" s="4"/>
      <c r="F77" s="4"/>
      <c r="G77" s="4"/>
      <c r="H77" s="4"/>
      <c r="I77" s="4"/>
      <c r="J77" s="18" t="s">
        <v>536</v>
      </c>
      <c r="K77" s="93">
        <v>45</v>
      </c>
      <c r="L77" s="8" t="s">
        <v>537</v>
      </c>
      <c r="M77" s="94">
        <v>10</v>
      </c>
      <c r="N77" s="4"/>
      <c r="O77" s="18">
        <v>6</v>
      </c>
      <c r="P77" s="8" t="s">
        <v>538</v>
      </c>
      <c r="Q77" s="205" t="s">
        <v>539</v>
      </c>
      <c r="R77" s="205" t="s">
        <v>540</v>
      </c>
      <c r="S77" s="205" t="s">
        <v>323</v>
      </c>
      <c r="T77" s="205">
        <v>44135</v>
      </c>
      <c r="U77" s="205" t="s">
        <v>540</v>
      </c>
      <c r="V77" s="205" t="s">
        <v>541</v>
      </c>
      <c r="W77" s="205"/>
      <c r="X77" s="205" t="s">
        <v>323</v>
      </c>
      <c r="Y77" s="205"/>
      <c r="Z77" s="205" t="s">
        <v>542</v>
      </c>
      <c r="AA77" s="205"/>
      <c r="AB77" s="205"/>
      <c r="AC77" s="205"/>
      <c r="AD77" s="206"/>
    </row>
    <row r="78" spans="1:30" ht="28" customHeight="1">
      <c r="A78" s="4"/>
      <c r="B78" s="4"/>
      <c r="C78" s="4"/>
      <c r="D78" s="4"/>
      <c r="E78" s="4"/>
      <c r="F78" s="4"/>
      <c r="G78" s="4"/>
      <c r="H78" s="4"/>
      <c r="I78" s="4"/>
      <c r="J78" s="18" t="s">
        <v>543</v>
      </c>
      <c r="K78" s="93">
        <v>-70</v>
      </c>
      <c r="L78" s="8" t="s">
        <v>544</v>
      </c>
      <c r="M78" s="94">
        <v>-8</v>
      </c>
      <c r="N78" s="4"/>
      <c r="O78" s="28">
        <v>7</v>
      </c>
      <c r="P78" s="10" t="s">
        <v>545</v>
      </c>
      <c r="Q78" s="209" t="s">
        <v>546</v>
      </c>
      <c r="R78" s="209" t="s">
        <v>547</v>
      </c>
      <c r="S78" s="209" t="s">
        <v>99</v>
      </c>
      <c r="T78" s="209">
        <v>44165</v>
      </c>
      <c r="U78" s="209" t="s">
        <v>547</v>
      </c>
      <c r="V78" s="209" t="s">
        <v>548</v>
      </c>
      <c r="W78" s="209"/>
      <c r="X78" s="209" t="s">
        <v>99</v>
      </c>
      <c r="Y78" s="209"/>
      <c r="Z78" s="209" t="s">
        <v>549</v>
      </c>
      <c r="AA78" s="209"/>
      <c r="AB78" s="209"/>
      <c r="AC78" s="209"/>
      <c r="AD78" s="210"/>
    </row>
    <row r="79" spans="1:30" ht="23">
      <c r="A79" s="4"/>
      <c r="B79" s="4"/>
      <c r="C79" s="4"/>
      <c r="D79" s="4"/>
      <c r="E79" s="4"/>
      <c r="F79" s="4"/>
      <c r="G79" s="4"/>
      <c r="H79" s="4"/>
      <c r="I79" s="4"/>
      <c r="J79" s="18" t="s">
        <v>550</v>
      </c>
      <c r="K79" s="93">
        <v>-95</v>
      </c>
      <c r="L79" s="8" t="s">
        <v>551</v>
      </c>
      <c r="M79" s="94">
        <v>-25</v>
      </c>
      <c r="N79" s="4"/>
      <c r="O79" s="4"/>
      <c r="P79" s="4"/>
      <c r="Q79" s="4"/>
      <c r="R79" s="4"/>
      <c r="S79" s="4"/>
      <c r="T79" s="4"/>
      <c r="U79" s="4"/>
      <c r="V79" s="4"/>
      <c r="W79" s="4"/>
      <c r="X79" s="4"/>
      <c r="Y79" s="4"/>
      <c r="Z79" s="4"/>
      <c r="AA79" s="4"/>
      <c r="AB79" s="4"/>
      <c r="AC79" s="4"/>
      <c r="AD79" s="4"/>
    </row>
    <row r="80" spans="1:30" ht="34.5">
      <c r="A80" s="4"/>
      <c r="B80" s="4"/>
      <c r="C80" s="4"/>
      <c r="D80" s="4"/>
      <c r="E80" s="4"/>
      <c r="F80" s="4"/>
      <c r="G80" s="4"/>
      <c r="H80" s="4"/>
      <c r="I80" s="4"/>
      <c r="J80" s="28" t="s">
        <v>552</v>
      </c>
      <c r="K80" s="96">
        <f>SUM(K72:K79)</f>
        <v>7855</v>
      </c>
      <c r="L80" s="10" t="s">
        <v>553</v>
      </c>
      <c r="M80" s="97">
        <f>SUM(M72:M79)</f>
        <v>1335</v>
      </c>
      <c r="N80" s="4"/>
      <c r="O80" s="4"/>
      <c r="P80" s="4"/>
      <c r="Q80" s="4"/>
      <c r="R80" s="4"/>
      <c r="S80" s="4"/>
      <c r="T80" s="4"/>
      <c r="U80" s="4"/>
      <c r="V80" s="4"/>
      <c r="W80" s="4"/>
      <c r="X80" s="4"/>
      <c r="Y80" s="4"/>
      <c r="Z80" s="4"/>
      <c r="AA80" s="4"/>
      <c r="AB80" s="4"/>
      <c r="AC80" s="4"/>
      <c r="AD80" s="4"/>
    </row>
    <row r="81" spans="1:30">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row>
    <row r="82" spans="1:30" ht="13.4" customHeight="1">
      <c r="A82" s="220" t="s">
        <v>554</v>
      </c>
      <c r="B82" s="220"/>
      <c r="C82" s="220"/>
      <c r="D82" s="220"/>
      <c r="E82" s="220"/>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row>
    <row r="83" spans="1:30">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row>
    <row r="84" spans="1:30">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row>
    <row r="85" spans="1:30">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row>
    <row r="86" spans="1:30">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row>
    <row r="87" spans="1:30">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row>
    <row r="88" spans="1:30">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row>
    <row r="89" spans="1:30">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row>
    <row r="90" spans="1:30">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row>
  </sheetData>
  <mergeCells count="46">
    <mergeCell ref="Q78:T78"/>
    <mergeCell ref="U78:W78"/>
    <mergeCell ref="X78:Y78"/>
    <mergeCell ref="Z78:AD78"/>
    <mergeCell ref="A82:AD82"/>
    <mergeCell ref="Q76:T76"/>
    <mergeCell ref="U76:W76"/>
    <mergeCell ref="X76:Y76"/>
    <mergeCell ref="Z76:AD76"/>
    <mergeCell ref="Q77:T77"/>
    <mergeCell ref="U77:W77"/>
    <mergeCell ref="X77:Y77"/>
    <mergeCell ref="Z77:AD77"/>
    <mergeCell ref="Q74:T74"/>
    <mergeCell ref="U74:W74"/>
    <mergeCell ref="X74:Y74"/>
    <mergeCell ref="Z74:AD74"/>
    <mergeCell ref="Q75:T75"/>
    <mergeCell ref="U75:W75"/>
    <mergeCell ref="X75:Y75"/>
    <mergeCell ref="Z75:AD75"/>
    <mergeCell ref="Q72:T72"/>
    <mergeCell ref="U72:W72"/>
    <mergeCell ref="X72:Y72"/>
    <mergeCell ref="Z72:AD72"/>
    <mergeCell ref="Q73:T73"/>
    <mergeCell ref="U73:W73"/>
    <mergeCell ref="X73:Y73"/>
    <mergeCell ref="Z73:AD73"/>
    <mergeCell ref="A11:AD11"/>
    <mergeCell ref="A43:AD43"/>
    <mergeCell ref="A70:AD70"/>
    <mergeCell ref="Q71:T71"/>
    <mergeCell ref="U71:W71"/>
    <mergeCell ref="X71:Y71"/>
    <mergeCell ref="Z71:AD71"/>
    <mergeCell ref="V7:X9"/>
    <mergeCell ref="Y6:AA6"/>
    <mergeCell ref="Y7:AA9"/>
    <mergeCell ref="AB6:AD6"/>
    <mergeCell ref="AB7:AD9"/>
    <mergeCell ref="A1:G1"/>
    <mergeCell ref="H1:AD1"/>
    <mergeCell ref="A2:AD2"/>
    <mergeCell ref="A3:AD3"/>
    <mergeCell ref="V6:X6"/>
  </mergeCells>
  <conditionalFormatting sqref="B58:AB58">
    <cfRule type="colorScale" priority="1">
      <colorScale>
        <cfvo type="min"/>
        <cfvo type="percentile" val="50"/>
        <cfvo type="max"/>
        <color rgb="FFF5DFDE"/>
        <color rgb="FFF7EDCF"/>
        <color rgb="FFE1EFE7"/>
      </colorScale>
    </cfRule>
  </conditionalFormatting>
  <conditionalFormatting sqref="B67:AB67">
    <cfRule type="colorScale" priority="2">
      <colorScale>
        <cfvo type="min"/>
        <cfvo type="percentile" val="50"/>
        <cfvo type="max"/>
        <color rgb="FFF5DFDE"/>
        <color rgb="FFF7EDCF"/>
        <color rgb="FFE1EFE7"/>
      </colorScale>
    </cfRule>
  </conditionalFormatting>
  <conditionalFormatting sqref="B72:G74">
    <cfRule type="colorScale" priority="3">
      <colorScale>
        <cfvo type="min"/>
        <cfvo type="percentile" val="50"/>
        <cfvo type="max"/>
        <color rgb="FFF5DFDE"/>
        <color rgb="FFF7EDCF"/>
        <color rgb="FFE1EFE7"/>
      </colorScale>
    </cfRule>
  </conditionalFormatting>
  <conditionalFormatting sqref="K73:K79">
    <cfRule type="colorScale" priority="4">
      <colorScale>
        <cfvo type="min"/>
        <cfvo type="percentile" val="50"/>
        <cfvo type="max"/>
        <color rgb="FFF5DFDE"/>
        <color rgb="FFF7EDCF"/>
        <color rgb="FFE1EFE7"/>
      </colorScale>
    </cfRule>
  </conditionalFormatting>
  <conditionalFormatting sqref="M73:M79">
    <cfRule type="colorScale" priority="5">
      <colorScale>
        <cfvo type="min"/>
        <cfvo type="percentile" val="50"/>
        <cfvo type="max"/>
        <color rgb="FFF5DFDE"/>
        <color rgb="FFF7EDCF"/>
        <color rgb="FFE1EFE7"/>
      </colorScale>
    </cfRule>
  </conditionalFormatting>
  <dataValidations count="1">
    <dataValidation type="list" sqref="B6">
      <formula1>"Base,Upside,Downside"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0"/>
  <sheetViews>
    <sheetView tabSelected="1" topLeftCell="M41" workbookViewId="0">
      <selection sqref="A1:G1"/>
    </sheetView>
  </sheetViews>
  <sheetFormatPr defaultRowHeight="14"/>
  <cols>
    <col min="1" max="1" width="25" customWidth="1"/>
    <col min="2" max="7" width="13" customWidth="1"/>
    <col min="8" max="8" width="33" customWidth="1"/>
    <col min="9" max="9" width="3" customWidth="1"/>
    <col min="10" max="20" width="13" customWidth="1"/>
    <col min="21" max="21" width="19.6640625" customWidth="1"/>
  </cols>
  <sheetData>
    <row r="1" spans="1:30" ht="14.65" customHeight="1">
      <c r="A1" s="103" t="s">
        <v>0</v>
      </c>
      <c r="B1" s="103"/>
      <c r="C1" s="103"/>
      <c r="D1" s="103"/>
      <c r="E1" s="103"/>
      <c r="F1" s="103"/>
      <c r="G1" s="103"/>
      <c r="H1" s="104" t="s">
        <v>1</v>
      </c>
      <c r="I1" s="104"/>
      <c r="J1" s="104"/>
      <c r="K1" s="104"/>
      <c r="L1" s="104"/>
      <c r="M1" s="104"/>
      <c r="N1" s="104"/>
      <c r="O1" s="104"/>
      <c r="P1" s="104"/>
      <c r="Q1" s="104"/>
      <c r="R1" s="104"/>
      <c r="S1" s="104"/>
      <c r="T1" s="104"/>
      <c r="U1" s="4"/>
      <c r="V1" s="4"/>
      <c r="W1" s="4"/>
      <c r="X1" s="4"/>
      <c r="Y1" s="4"/>
      <c r="Z1" s="4"/>
      <c r="AA1" s="4"/>
      <c r="AB1" s="4"/>
      <c r="AC1" s="4"/>
      <c r="AD1" s="4"/>
    </row>
    <row r="2" spans="1:30" ht="25.4" customHeight="1">
      <c r="A2" s="105" t="s">
        <v>555</v>
      </c>
      <c r="B2" s="105"/>
      <c r="C2" s="105"/>
      <c r="D2" s="105"/>
      <c r="E2" s="105"/>
      <c r="F2" s="105"/>
      <c r="G2" s="105"/>
      <c r="H2" s="105"/>
      <c r="I2" s="105"/>
      <c r="J2" s="105"/>
      <c r="K2" s="105"/>
      <c r="L2" s="105"/>
      <c r="M2" s="105"/>
      <c r="N2" s="105"/>
      <c r="O2" s="105"/>
      <c r="P2" s="105"/>
      <c r="Q2" s="105"/>
      <c r="R2" s="105"/>
      <c r="S2" s="105"/>
      <c r="T2" s="105"/>
      <c r="U2" s="4"/>
      <c r="V2" s="4"/>
      <c r="W2" s="4"/>
      <c r="X2" s="4"/>
      <c r="Y2" s="4"/>
      <c r="Z2" s="4"/>
      <c r="AA2" s="4"/>
      <c r="AB2" s="4"/>
      <c r="AC2" s="4"/>
      <c r="AD2" s="4"/>
    </row>
    <row r="3" spans="1:30" ht="14.65" customHeight="1">
      <c r="A3" s="106" t="s">
        <v>556</v>
      </c>
      <c r="B3" s="106"/>
      <c r="C3" s="106"/>
      <c r="D3" s="106"/>
      <c r="E3" s="106"/>
      <c r="F3" s="106"/>
      <c r="G3" s="106"/>
      <c r="H3" s="106"/>
      <c r="I3" s="106"/>
      <c r="J3" s="106"/>
      <c r="K3" s="106"/>
      <c r="L3" s="106"/>
      <c r="M3" s="106"/>
      <c r="N3" s="106"/>
      <c r="O3" s="106"/>
      <c r="P3" s="106"/>
      <c r="Q3" s="106"/>
      <c r="R3" s="106"/>
      <c r="S3" s="106"/>
      <c r="T3" s="106"/>
      <c r="U3" s="4"/>
      <c r="V3" s="4"/>
      <c r="W3" s="4"/>
      <c r="X3" s="4"/>
      <c r="Y3" s="4"/>
      <c r="Z3" s="4"/>
      <c r="AA3" s="4"/>
      <c r="AB3" s="4"/>
      <c r="AC3" s="4"/>
      <c r="AD3" s="4"/>
    </row>
    <row r="4" spans="1:30" ht="3.4" customHeight="1">
      <c r="A4" s="5"/>
      <c r="B4" s="5"/>
      <c r="C4" s="5"/>
      <c r="D4" s="5"/>
      <c r="E4" s="5"/>
      <c r="F4" s="5"/>
      <c r="G4" s="5"/>
      <c r="H4" s="5"/>
      <c r="I4" s="5"/>
      <c r="J4" s="5"/>
      <c r="K4" s="5"/>
      <c r="L4" s="5"/>
      <c r="M4" s="5"/>
      <c r="N4" s="5"/>
      <c r="O4" s="5"/>
      <c r="P4" s="5"/>
      <c r="Q4" s="5"/>
      <c r="R4" s="5"/>
      <c r="S4" s="5"/>
      <c r="T4" s="5"/>
      <c r="U4" s="4"/>
      <c r="V4" s="4"/>
      <c r="W4" s="4"/>
      <c r="X4" s="4"/>
      <c r="Y4" s="4"/>
      <c r="Z4" s="4"/>
      <c r="AA4" s="4"/>
      <c r="AB4" s="4"/>
      <c r="AC4" s="4"/>
      <c r="AD4" s="4"/>
    </row>
    <row r="5" spans="1:30">
      <c r="A5" s="4"/>
      <c r="B5" s="4"/>
      <c r="C5" s="4"/>
      <c r="D5" s="4"/>
      <c r="E5" s="4"/>
      <c r="F5" s="4"/>
      <c r="G5" s="4"/>
      <c r="H5" s="4"/>
      <c r="I5" s="4"/>
      <c r="J5" s="4"/>
      <c r="K5" s="4"/>
      <c r="L5" s="4"/>
      <c r="M5" s="4"/>
      <c r="N5" s="4"/>
      <c r="O5" s="4"/>
      <c r="P5" s="4"/>
      <c r="Q5" s="4"/>
      <c r="R5" s="4"/>
      <c r="S5" s="4"/>
      <c r="T5" s="4"/>
      <c r="U5" s="4"/>
      <c r="V5" s="4"/>
      <c r="W5" s="4"/>
      <c r="X5" s="4"/>
      <c r="Y5" s="4"/>
      <c r="Z5" s="4"/>
      <c r="AA5" s="4"/>
      <c r="AB5" s="4"/>
      <c r="AC5" s="4"/>
      <c r="AD5" s="4"/>
    </row>
    <row r="6" spans="1:30" ht="14.65" customHeight="1">
      <c r="A6" s="222" t="s">
        <v>557</v>
      </c>
      <c r="B6" s="222"/>
      <c r="C6" s="222"/>
      <c r="D6" s="222"/>
      <c r="E6" s="4"/>
      <c r="F6" s="222" t="s">
        <v>558</v>
      </c>
      <c r="G6" s="222"/>
      <c r="H6" s="222"/>
      <c r="I6" s="222"/>
      <c r="J6" s="4"/>
      <c r="K6" s="222" t="s">
        <v>559</v>
      </c>
      <c r="L6" s="222"/>
      <c r="M6" s="222"/>
      <c r="N6" s="222"/>
      <c r="O6" s="4"/>
      <c r="P6" s="222" t="s">
        <v>560</v>
      </c>
      <c r="Q6" s="222"/>
      <c r="R6" s="222"/>
      <c r="S6" s="222"/>
      <c r="T6" s="222"/>
      <c r="U6" s="4"/>
      <c r="V6" s="4"/>
      <c r="W6" s="4"/>
      <c r="X6" s="4"/>
      <c r="Y6" s="4"/>
      <c r="Z6" s="4"/>
      <c r="AA6" s="4"/>
      <c r="AB6" s="4"/>
      <c r="AC6" s="4"/>
      <c r="AD6" s="4"/>
    </row>
    <row r="7" spans="1:30">
      <c r="A7" s="223">
        <f>'04_Worked_Example'!V7</f>
        <v>7.8545133054796255</v>
      </c>
      <c r="B7" s="279"/>
      <c r="C7" s="279"/>
      <c r="D7" s="280"/>
      <c r="E7" s="4"/>
      <c r="F7" s="223">
        <v>8.8200532228446615</v>
      </c>
      <c r="G7" s="279"/>
      <c r="H7" s="279"/>
      <c r="I7" s="280"/>
      <c r="J7" s="4"/>
      <c r="K7" s="233">
        <v>0.15357734542945795</v>
      </c>
      <c r="L7" s="287"/>
      <c r="M7" s="287"/>
      <c r="N7" s="288"/>
      <c r="O7" s="4"/>
      <c r="P7" s="223">
        <v>0.66349078831212827</v>
      </c>
      <c r="Q7" s="279"/>
      <c r="R7" s="279"/>
      <c r="S7" s="279"/>
      <c r="T7" s="280"/>
      <c r="U7" s="4"/>
      <c r="V7" s="4"/>
      <c r="W7" s="4"/>
      <c r="X7" s="4"/>
      <c r="Y7" s="4"/>
      <c r="Z7" s="4"/>
      <c r="AA7" s="4"/>
      <c r="AB7" s="4"/>
      <c r="AC7" s="4"/>
      <c r="AD7" s="4"/>
    </row>
    <row r="8" spans="1:30">
      <c r="A8" s="281"/>
      <c r="B8" s="282"/>
      <c r="C8" s="282"/>
      <c r="D8" s="283"/>
      <c r="E8" s="4"/>
      <c r="F8" s="281"/>
      <c r="G8" s="282"/>
      <c r="H8" s="282"/>
      <c r="I8" s="283"/>
      <c r="J8" s="4"/>
      <c r="K8" s="289"/>
      <c r="L8" s="290"/>
      <c r="M8" s="290"/>
      <c r="N8" s="291"/>
      <c r="O8" s="4"/>
      <c r="P8" s="281"/>
      <c r="Q8" s="282"/>
      <c r="R8" s="282"/>
      <c r="S8" s="282"/>
      <c r="T8" s="283"/>
      <c r="U8" s="4"/>
      <c r="V8" s="4"/>
      <c r="W8" s="4"/>
      <c r="X8" s="4"/>
      <c r="Y8" s="4"/>
      <c r="Z8" s="4"/>
      <c r="AA8" s="4"/>
      <c r="AB8" s="4"/>
      <c r="AC8" s="4"/>
      <c r="AD8" s="4"/>
    </row>
    <row r="9" spans="1:30">
      <c r="A9" s="284"/>
      <c r="B9" s="285"/>
      <c r="C9" s="285"/>
      <c r="D9" s="286"/>
      <c r="E9" s="4"/>
      <c r="F9" s="284"/>
      <c r="G9" s="285"/>
      <c r="H9" s="285"/>
      <c r="I9" s="286"/>
      <c r="J9" s="4"/>
      <c r="K9" s="292"/>
      <c r="L9" s="293"/>
      <c r="M9" s="293"/>
      <c r="N9" s="294"/>
      <c r="O9" s="4"/>
      <c r="P9" s="284"/>
      <c r="Q9" s="285"/>
      <c r="R9" s="285"/>
      <c r="S9" s="285"/>
      <c r="T9" s="286"/>
      <c r="U9" s="4"/>
      <c r="V9" s="4"/>
      <c r="W9" s="4"/>
      <c r="X9" s="4"/>
      <c r="Y9" s="4"/>
      <c r="Z9" s="4"/>
      <c r="AA9" s="4"/>
      <c r="AB9" s="4"/>
      <c r="AC9" s="4"/>
      <c r="AD9" s="4"/>
    </row>
    <row r="10" spans="1:30">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row>
    <row r="11" spans="1:30" ht="21.4" customHeight="1">
      <c r="A11" s="295" t="s">
        <v>561</v>
      </c>
      <c r="B11" s="295"/>
      <c r="C11" s="295"/>
      <c r="D11" s="295"/>
      <c r="E11" s="295"/>
      <c r="F11" s="295"/>
      <c r="G11" s="295"/>
      <c r="H11" s="295"/>
      <c r="I11" s="295"/>
      <c r="J11" s="295"/>
      <c r="K11" s="295"/>
      <c r="L11" s="295"/>
      <c r="M11" s="295"/>
      <c r="N11" s="295"/>
      <c r="O11" s="295"/>
      <c r="P11" s="295"/>
      <c r="Q11" s="295"/>
      <c r="R11" s="295"/>
      <c r="S11" s="295"/>
      <c r="T11" s="295"/>
      <c r="U11" s="4"/>
      <c r="V11" s="4"/>
      <c r="W11" s="4"/>
      <c r="X11" s="4"/>
      <c r="Y11" s="4"/>
      <c r="Z11" s="4"/>
      <c r="AA11" s="4"/>
      <c r="AB11" s="4"/>
      <c r="AC11" s="4"/>
      <c r="AD11" s="4"/>
    </row>
    <row r="12" spans="1:30">
      <c r="A12" s="4"/>
      <c r="B12" s="4"/>
      <c r="C12" s="4"/>
      <c r="D12" s="4"/>
      <c r="E12" s="4"/>
      <c r="F12" s="4"/>
      <c r="G12" s="4"/>
      <c r="H12" s="4"/>
      <c r="I12" s="4"/>
      <c r="J12" s="4"/>
      <c r="K12" s="4"/>
      <c r="L12" s="4"/>
      <c r="M12" s="4"/>
      <c r="N12" s="4"/>
      <c r="O12" s="4"/>
      <c r="P12" s="4"/>
      <c r="Q12" s="4"/>
      <c r="R12" s="4"/>
      <c r="S12" s="4"/>
      <c r="T12" s="4"/>
      <c r="U12" s="4" t="s">
        <v>562</v>
      </c>
      <c r="V12" s="4" t="s">
        <v>487</v>
      </c>
      <c r="W12" s="4" t="s">
        <v>445</v>
      </c>
      <c r="X12" s="4"/>
      <c r="Y12" s="4"/>
      <c r="Z12" s="4"/>
      <c r="AA12" s="4"/>
      <c r="AB12" s="4"/>
      <c r="AC12" s="4"/>
      <c r="AD12" s="4"/>
    </row>
    <row r="13" spans="1:30" ht="16" customHeight="1">
      <c r="A13" s="270" t="s">
        <v>563</v>
      </c>
      <c r="B13" s="270"/>
      <c r="C13" s="270"/>
      <c r="D13" s="270"/>
      <c r="E13" s="270"/>
      <c r="F13" s="270"/>
      <c r="G13" s="270"/>
      <c r="H13" s="270"/>
      <c r="I13" s="4"/>
      <c r="J13" s="4"/>
      <c r="K13" s="4"/>
      <c r="L13" s="4"/>
      <c r="M13" s="4"/>
      <c r="N13" s="4"/>
      <c r="O13" s="4"/>
      <c r="P13" s="4"/>
      <c r="Q13" s="4"/>
      <c r="R13" s="4"/>
      <c r="S13" s="4"/>
      <c r="T13" s="4"/>
      <c r="U13" s="101">
        <v>43831</v>
      </c>
      <c r="V13" s="102">
        <f>'04_Worked_Example'!B50</f>
        <v>623.8934099999999</v>
      </c>
      <c r="W13" s="102">
        <f>'04_Worked_Example'!B57</f>
        <v>102.9329280566667</v>
      </c>
      <c r="X13" s="4"/>
      <c r="Y13" s="4"/>
      <c r="Z13" s="4"/>
      <c r="AA13" s="4"/>
      <c r="AB13" s="4"/>
      <c r="AC13" s="4"/>
      <c r="AD13" s="4"/>
    </row>
    <row r="14" spans="1:30" ht="25.4" customHeight="1">
      <c r="A14" s="41" t="s">
        <v>369</v>
      </c>
      <c r="B14" s="42" t="s">
        <v>487</v>
      </c>
      <c r="C14" s="42" t="s">
        <v>445</v>
      </c>
      <c r="D14" s="42" t="s">
        <v>488</v>
      </c>
      <c r="E14" s="42" t="s">
        <v>489</v>
      </c>
      <c r="F14" s="42" t="s">
        <v>384</v>
      </c>
      <c r="G14" s="42" t="s">
        <v>490</v>
      </c>
      <c r="H14" s="43" t="s">
        <v>491</v>
      </c>
      <c r="I14" s="4"/>
      <c r="J14" s="4"/>
      <c r="K14" s="4"/>
      <c r="L14" s="4"/>
      <c r="M14" s="4"/>
      <c r="N14" s="4"/>
      <c r="O14" s="4"/>
      <c r="P14" s="4"/>
      <c r="Q14" s="4"/>
      <c r="R14" s="4"/>
      <c r="S14" s="4"/>
      <c r="T14" s="4"/>
      <c r="U14" s="101">
        <v>43862</v>
      </c>
      <c r="V14" s="102">
        <f>'04_Worked_Example'!C50</f>
        <v>637.4816838700001</v>
      </c>
      <c r="W14" s="102">
        <f>'04_Worked_Example'!C57</f>
        <v>106.69067213881249</v>
      </c>
      <c r="X14" s="4"/>
      <c r="Y14" s="4"/>
      <c r="Z14" s="4"/>
      <c r="AA14" s="4"/>
      <c r="AB14" s="4"/>
      <c r="AC14" s="4"/>
      <c r="AD14" s="4"/>
    </row>
    <row r="15" spans="1:30" ht="24" customHeight="1">
      <c r="A15" s="15" t="s">
        <v>367</v>
      </c>
      <c r="B15" s="16">
        <v>8.8200532228446615</v>
      </c>
      <c r="C15" s="16">
        <v>1.3545603605110181</v>
      </c>
      <c r="D15" s="17">
        <v>0.15357734542945795</v>
      </c>
      <c r="E15" s="16">
        <v>0.66349078831212827</v>
      </c>
      <c r="F15" s="16">
        <v>0.42336255469654366</v>
      </c>
      <c r="G15" s="16">
        <v>1.2392860448511807</v>
      </c>
      <c r="H15" s="7" t="s">
        <v>564</v>
      </c>
      <c r="I15" s="4"/>
      <c r="J15" s="4"/>
      <c r="K15" s="4"/>
      <c r="L15" s="4"/>
      <c r="M15" s="4"/>
      <c r="N15" s="4"/>
      <c r="O15" s="4"/>
      <c r="P15" s="4"/>
      <c r="Q15" s="4"/>
      <c r="R15" s="4"/>
      <c r="S15" s="4"/>
      <c r="T15" s="4"/>
      <c r="U15" s="101">
        <v>43891</v>
      </c>
      <c r="V15" s="102">
        <f>'04_Worked_Example'!D50</f>
        <v>665.98982765709002</v>
      </c>
      <c r="W15" s="102">
        <f>'04_Worked_Example'!D57</f>
        <v>114.60824755622457</v>
      </c>
      <c r="X15" s="4"/>
      <c r="Y15" s="4"/>
      <c r="Z15" s="4"/>
      <c r="AA15" s="4"/>
      <c r="AB15" s="4"/>
      <c r="AC15" s="4"/>
      <c r="AD15" s="4"/>
    </row>
    <row r="16" spans="1:30" ht="24" customHeight="1">
      <c r="A16" s="18" t="s">
        <v>67</v>
      </c>
      <c r="B16" s="19">
        <v>9.2831687118441444</v>
      </c>
      <c r="C16" s="19">
        <v>1.766225167841567</v>
      </c>
      <c r="D16" s="20">
        <v>0.19026102214301979</v>
      </c>
      <c r="E16" s="19">
        <v>0.99787718014505533</v>
      </c>
      <c r="F16" s="19">
        <v>0.49015130798537088</v>
      </c>
      <c r="G16" s="19">
        <v>1.3186784275750343</v>
      </c>
      <c r="H16" s="9" t="s">
        <v>565</v>
      </c>
      <c r="I16" s="4"/>
      <c r="J16" s="4"/>
      <c r="K16" s="4"/>
      <c r="L16" s="4"/>
      <c r="M16" s="4"/>
      <c r="N16" s="4"/>
      <c r="O16" s="4"/>
      <c r="P16" s="4"/>
      <c r="Q16" s="4"/>
      <c r="R16" s="4"/>
      <c r="S16" s="4"/>
      <c r="T16" s="4"/>
      <c r="U16" s="101">
        <v>43922</v>
      </c>
      <c r="V16" s="102">
        <f>'04_Worked_Example'!E50</f>
        <v>522.28652745068962</v>
      </c>
      <c r="W16" s="102">
        <f>'04_Worked_Example'!E57</f>
        <v>74.502960055609151</v>
      </c>
      <c r="X16" s="4"/>
      <c r="Y16" s="4"/>
      <c r="Z16" s="4"/>
      <c r="AA16" s="4"/>
      <c r="AB16" s="4"/>
      <c r="AC16" s="4"/>
      <c r="AD16" s="4"/>
    </row>
    <row r="17" spans="1:30" ht="24" customHeight="1">
      <c r="A17" s="18" t="s">
        <v>68</v>
      </c>
      <c r="B17" s="19">
        <v>8.2292900163982665</v>
      </c>
      <c r="C17" s="19">
        <v>0.80663918135379109</v>
      </c>
      <c r="D17" s="20">
        <v>9.8020507206141069E-2</v>
      </c>
      <c r="E17" s="19">
        <v>0.1978669386968499</v>
      </c>
      <c r="F17" s="19">
        <v>0.31600473662969347</v>
      </c>
      <c r="G17" s="19">
        <v>1.0462036036955895</v>
      </c>
      <c r="H17" s="9" t="s">
        <v>566</v>
      </c>
      <c r="I17" s="4"/>
      <c r="J17" s="4"/>
      <c r="K17" s="4"/>
      <c r="L17" s="4"/>
      <c r="M17" s="4"/>
      <c r="N17" s="4"/>
      <c r="O17" s="4"/>
      <c r="P17" s="4"/>
      <c r="Q17" s="4"/>
      <c r="R17" s="4"/>
      <c r="S17" s="4"/>
      <c r="T17" s="4"/>
      <c r="U17" s="101">
        <v>43952</v>
      </c>
      <c r="V17" s="102">
        <f>'04_Worked_Example'!F50</f>
        <v>539.93144938284445</v>
      </c>
      <c r="W17" s="102">
        <f>'04_Worked_Example'!F57</f>
        <v>79.395278069856204</v>
      </c>
      <c r="X17" s="4"/>
      <c r="Y17" s="4"/>
      <c r="Z17" s="4"/>
      <c r="AA17" s="4"/>
      <c r="AB17" s="4"/>
      <c r="AC17" s="4"/>
      <c r="AD17" s="4"/>
    </row>
    <row r="18" spans="1:30" ht="24" customHeight="1">
      <c r="A18" s="28" t="s">
        <v>521</v>
      </c>
      <c r="B18" s="95">
        <f t="shared" ref="B18:G18" si="0">MAX(B15:B17)-MIN(B15:B17)</f>
        <v>1.0538786954458779</v>
      </c>
      <c r="C18" s="95">
        <f t="shared" si="0"/>
        <v>0.95958598648777593</v>
      </c>
      <c r="D18" s="29">
        <f t="shared" si="0"/>
        <v>9.2240514936878723E-2</v>
      </c>
      <c r="E18" s="95">
        <f t="shared" si="0"/>
        <v>0.80001024144820543</v>
      </c>
      <c r="F18" s="95">
        <f t="shared" si="0"/>
        <v>0.1741465713556774</v>
      </c>
      <c r="G18" s="95">
        <f t="shared" si="0"/>
        <v>0.27247482387944477</v>
      </c>
      <c r="H18" s="11" t="s">
        <v>567</v>
      </c>
      <c r="I18" s="4"/>
      <c r="J18" s="4"/>
      <c r="K18" s="4"/>
      <c r="L18" s="4"/>
      <c r="M18" s="4"/>
      <c r="N18" s="4"/>
      <c r="O18" s="4"/>
      <c r="P18" s="4"/>
      <c r="Q18" s="4"/>
      <c r="R18" s="4"/>
      <c r="S18" s="4"/>
      <c r="T18" s="4"/>
      <c r="U18" s="101">
        <v>43983</v>
      </c>
      <c r="V18" s="102">
        <f>'04_Worked_Example'!G50</f>
        <v>620.73253962852436</v>
      </c>
      <c r="W18" s="102">
        <f>'04_Worked_Example'!G57</f>
        <v>101.89011456460275</v>
      </c>
      <c r="X18" s="4"/>
      <c r="Y18" s="4"/>
      <c r="Z18" s="4"/>
      <c r="AA18" s="4"/>
      <c r="AB18" s="4"/>
      <c r="AC18" s="4"/>
      <c r="AD18" s="4"/>
    </row>
    <row r="19" spans="1:30">
      <c r="A19" s="4"/>
      <c r="B19" s="4"/>
      <c r="C19" s="4"/>
      <c r="D19" s="4"/>
      <c r="E19" s="4"/>
      <c r="F19" s="4"/>
      <c r="G19" s="4"/>
      <c r="H19" s="4"/>
      <c r="I19" s="4"/>
      <c r="J19" s="4"/>
      <c r="K19" s="4"/>
      <c r="L19" s="4"/>
      <c r="M19" s="4"/>
      <c r="N19" s="4"/>
      <c r="O19" s="4"/>
      <c r="P19" s="4"/>
      <c r="Q19" s="4"/>
      <c r="R19" s="4"/>
      <c r="S19" s="4"/>
      <c r="T19" s="4"/>
      <c r="U19" s="101">
        <v>44013</v>
      </c>
      <c r="V19" s="102">
        <f>'04_Worked_Example'!H50</f>
        <v>716.23222440592394</v>
      </c>
      <c r="W19" s="102">
        <f>'04_Worked_Example'!H57</f>
        <v>128.47317830972452</v>
      </c>
      <c r="X19" s="4"/>
      <c r="Y19" s="4"/>
      <c r="Z19" s="4"/>
      <c r="AA19" s="4"/>
      <c r="AB19" s="4"/>
      <c r="AC19" s="4"/>
      <c r="AD19" s="4"/>
    </row>
    <row r="20" spans="1:30">
      <c r="A20" s="4"/>
      <c r="B20" s="4"/>
      <c r="C20" s="4"/>
      <c r="D20" s="4"/>
      <c r="E20" s="4"/>
      <c r="F20" s="4"/>
      <c r="G20" s="4"/>
      <c r="H20" s="4"/>
      <c r="I20" s="4"/>
      <c r="J20" s="4"/>
      <c r="K20" s="4"/>
      <c r="L20" s="4"/>
      <c r="M20" s="4"/>
      <c r="N20" s="4"/>
      <c r="O20" s="4"/>
      <c r="P20" s="4"/>
      <c r="Q20" s="4"/>
      <c r="R20" s="4"/>
      <c r="S20" s="4"/>
      <c r="T20" s="4"/>
      <c r="U20" s="101">
        <v>44044</v>
      </c>
      <c r="V20" s="102">
        <f>'04_Worked_Example'!I50</f>
        <v>727.42080997676544</v>
      </c>
      <c r="W20" s="102">
        <f>'04_Worked_Example'!I57</f>
        <v>131.55434326672832</v>
      </c>
      <c r="X20" s="4"/>
      <c r="Y20" s="4"/>
      <c r="Z20" s="4"/>
      <c r="AA20" s="4"/>
      <c r="AB20" s="4"/>
      <c r="AC20" s="4"/>
      <c r="AD20" s="4"/>
    </row>
    <row r="21" spans="1:30" ht="16" customHeight="1">
      <c r="A21" s="162" t="s">
        <v>568</v>
      </c>
      <c r="B21" s="162"/>
      <c r="C21" s="162"/>
      <c r="D21" s="162"/>
      <c r="E21" s="162"/>
      <c r="F21" s="162"/>
      <c r="G21" s="162"/>
      <c r="H21" s="162"/>
      <c r="I21" s="4"/>
      <c r="J21" s="4"/>
      <c r="K21" s="4"/>
      <c r="L21" s="4"/>
      <c r="M21" s="4"/>
      <c r="N21" s="4"/>
      <c r="O21" s="4"/>
      <c r="P21" s="4"/>
      <c r="Q21" s="4"/>
      <c r="R21" s="4"/>
      <c r="S21" s="4"/>
      <c r="T21" s="4"/>
      <c r="U21" s="101">
        <v>44075</v>
      </c>
      <c r="V21" s="102">
        <f>'04_Worked_Example'!J50</f>
        <v>729.47480264660271</v>
      </c>
      <c r="W21" s="102">
        <f>'04_Worked_Example'!J57</f>
        <v>132.08976462750843</v>
      </c>
      <c r="X21" s="4"/>
      <c r="Y21" s="4"/>
      <c r="Z21" s="4"/>
      <c r="AA21" s="4"/>
      <c r="AB21" s="4"/>
      <c r="AC21" s="4"/>
      <c r="AD21" s="4"/>
    </row>
    <row r="22" spans="1:30" ht="25.4" customHeight="1">
      <c r="A22" s="1" t="s">
        <v>569</v>
      </c>
      <c r="B22" s="2" t="s">
        <v>408</v>
      </c>
      <c r="C22" s="2" t="s">
        <v>570</v>
      </c>
      <c r="D22" s="3" t="s">
        <v>408</v>
      </c>
      <c r="E22" s="4"/>
      <c r="F22" s="4"/>
      <c r="G22" s="4"/>
      <c r="H22" s="4"/>
      <c r="I22" s="4"/>
      <c r="J22" s="4"/>
      <c r="K22" s="4"/>
      <c r="L22" s="4"/>
      <c r="M22" s="4"/>
      <c r="N22" s="4"/>
      <c r="O22" s="4"/>
      <c r="P22" s="4"/>
      <c r="Q22" s="4"/>
      <c r="R22" s="4"/>
      <c r="S22" s="4"/>
      <c r="T22" s="4"/>
      <c r="U22" s="101">
        <v>44105</v>
      </c>
      <c r="V22" s="102">
        <f>'04_Worked_Example'!K50</f>
        <v>723.47970876512909</v>
      </c>
      <c r="W22" s="102">
        <f>'04_Worked_Example'!K57</f>
        <v>130.38318349292831</v>
      </c>
      <c r="X22" s="4"/>
      <c r="Y22" s="4"/>
      <c r="Z22" s="4"/>
      <c r="AA22" s="4"/>
      <c r="AB22" s="4"/>
      <c r="AC22" s="4"/>
      <c r="AD22" s="4"/>
    </row>
    <row r="23" spans="1:30">
      <c r="A23" s="15" t="s">
        <v>506</v>
      </c>
      <c r="B23" s="91">
        <v>-310</v>
      </c>
      <c r="C23" s="6" t="s">
        <v>507</v>
      </c>
      <c r="D23" s="92">
        <v>-45</v>
      </c>
      <c r="E23" s="4"/>
      <c r="F23" s="4"/>
      <c r="G23" s="4"/>
      <c r="H23" s="4"/>
      <c r="I23" s="4"/>
      <c r="J23" s="4"/>
      <c r="K23" s="4"/>
      <c r="L23" s="4"/>
      <c r="M23" s="4"/>
      <c r="N23" s="4"/>
      <c r="O23" s="4"/>
      <c r="P23" s="4"/>
      <c r="Q23" s="4"/>
      <c r="R23" s="4"/>
      <c r="S23" s="4"/>
      <c r="T23" s="4"/>
      <c r="U23" s="101">
        <v>44136</v>
      </c>
      <c r="V23" s="102">
        <f>'04_Worked_Example'!L50</f>
        <v>696.8785347264851</v>
      </c>
      <c r="W23" s="102">
        <f>'04_Worked_Example'!L57</f>
        <v>122.93884006927658</v>
      </c>
      <c r="X23" s="4"/>
      <c r="Y23" s="4"/>
      <c r="Z23" s="4"/>
      <c r="AA23" s="4"/>
      <c r="AB23" s="4"/>
      <c r="AC23" s="4"/>
      <c r="AD23" s="4"/>
    </row>
    <row r="24" spans="1:30">
      <c r="A24" s="18" t="s">
        <v>514</v>
      </c>
      <c r="B24" s="93">
        <v>80</v>
      </c>
      <c r="C24" s="8" t="s">
        <v>515</v>
      </c>
      <c r="D24" s="94">
        <v>35</v>
      </c>
      <c r="E24" s="4"/>
      <c r="F24" s="4"/>
      <c r="G24" s="4"/>
      <c r="H24" s="4"/>
      <c r="I24" s="4"/>
      <c r="J24" s="4"/>
      <c r="K24" s="4"/>
      <c r="L24" s="4"/>
      <c r="M24" s="4"/>
      <c r="N24" s="4"/>
      <c r="O24" s="4"/>
      <c r="P24" s="4"/>
      <c r="Q24" s="4"/>
      <c r="R24" s="4"/>
      <c r="S24" s="4"/>
      <c r="T24" s="4"/>
      <c r="U24" s="101">
        <v>44166</v>
      </c>
      <c r="V24" s="102">
        <f>'04_Worked_Example'!M50</f>
        <v>650.71178696957031</v>
      </c>
      <c r="W24" s="102">
        <f>'04_Worked_Example'!M57</f>
        <v>110.04952670857347</v>
      </c>
      <c r="X24" s="4"/>
      <c r="Y24" s="4"/>
      <c r="Z24" s="4"/>
      <c r="AA24" s="4"/>
      <c r="AB24" s="4"/>
      <c r="AC24" s="4"/>
      <c r="AD24" s="4"/>
    </row>
    <row r="25" spans="1:30">
      <c r="A25" s="18" t="s">
        <v>523</v>
      </c>
      <c r="B25" s="93">
        <v>-90</v>
      </c>
      <c r="C25" s="8" t="s">
        <v>524</v>
      </c>
      <c r="D25" s="94">
        <v>-40</v>
      </c>
      <c r="E25" s="4"/>
      <c r="F25" s="4"/>
      <c r="G25" s="4"/>
      <c r="H25" s="4"/>
      <c r="I25" s="4"/>
      <c r="J25" s="4"/>
      <c r="K25" s="4"/>
      <c r="L25" s="4"/>
      <c r="M25" s="4"/>
      <c r="N25" s="4"/>
      <c r="O25" s="4"/>
      <c r="P25" s="4"/>
      <c r="Q25" s="4"/>
      <c r="R25" s="4"/>
      <c r="S25" s="4"/>
      <c r="T25" s="4"/>
      <c r="U25" s="101">
        <v>44197</v>
      </c>
      <c r="V25" s="102">
        <f>'04_Worked_Example'!N50</f>
        <v>673.50032636334254</v>
      </c>
      <c r="W25" s="102">
        <f>'04_Worked_Example'!N57</f>
        <v>97.207595668263025</v>
      </c>
      <c r="X25" s="4"/>
      <c r="Y25" s="4"/>
      <c r="Z25" s="4"/>
      <c r="AA25" s="4"/>
      <c r="AB25" s="4"/>
      <c r="AC25" s="4"/>
      <c r="AD25" s="4"/>
    </row>
    <row r="26" spans="1:30">
      <c r="A26" s="18" t="s">
        <v>530</v>
      </c>
      <c r="B26" s="93">
        <v>95</v>
      </c>
      <c r="C26" s="8" t="s">
        <v>381</v>
      </c>
      <c r="D26" s="94">
        <v>18</v>
      </c>
      <c r="E26" s="4"/>
      <c r="F26" s="4"/>
      <c r="G26" s="4"/>
      <c r="H26" s="4"/>
      <c r="I26" s="4"/>
      <c r="J26" s="4"/>
      <c r="K26" s="4"/>
      <c r="L26" s="4"/>
      <c r="M26" s="4"/>
      <c r="N26" s="4"/>
      <c r="O26" s="4"/>
      <c r="P26" s="4"/>
      <c r="Q26" s="4"/>
      <c r="R26" s="4"/>
      <c r="S26" s="4"/>
      <c r="T26" s="4"/>
      <c r="U26" s="101">
        <v>44228</v>
      </c>
      <c r="V26" s="102">
        <f>'04_Worked_Example'!O50</f>
        <v>688.26646946421261</v>
      </c>
      <c r="W26" s="102">
        <f>'04_Worked_Example'!O57</f>
        <v>100.96766001596188</v>
      </c>
      <c r="X26" s="4"/>
      <c r="Y26" s="4"/>
      <c r="Z26" s="4"/>
      <c r="AA26" s="4"/>
      <c r="AB26" s="4"/>
      <c r="AC26" s="4"/>
      <c r="AD26" s="4"/>
    </row>
    <row r="27" spans="1:30">
      <c r="A27" s="18" t="s">
        <v>536</v>
      </c>
      <c r="B27" s="93">
        <v>45</v>
      </c>
      <c r="C27" s="8" t="s">
        <v>537</v>
      </c>
      <c r="D27" s="94">
        <v>10</v>
      </c>
      <c r="E27" s="4"/>
      <c r="F27" s="4"/>
      <c r="G27" s="4"/>
      <c r="H27" s="4"/>
      <c r="I27" s="4"/>
      <c r="J27" s="4"/>
      <c r="K27" s="4"/>
      <c r="L27" s="4"/>
      <c r="M27" s="4"/>
      <c r="N27" s="4"/>
      <c r="O27" s="4"/>
      <c r="P27" s="4"/>
      <c r="Q27" s="4"/>
      <c r="R27" s="4"/>
      <c r="S27" s="4"/>
      <c r="T27" s="4"/>
      <c r="U27" s="101">
        <v>44256</v>
      </c>
      <c r="V27" s="102">
        <f>'04_Worked_Example'!P50</f>
        <v>719.30817186547029</v>
      </c>
      <c r="W27" s="102">
        <f>'04_Worked_Example'!P57</f>
        <v>108.86573008498658</v>
      </c>
      <c r="X27" s="4"/>
      <c r="Y27" s="4"/>
      <c r="Z27" s="4"/>
      <c r="AA27" s="4"/>
      <c r="AB27" s="4"/>
      <c r="AC27" s="4"/>
      <c r="AD27" s="4"/>
    </row>
    <row r="28" spans="1:30">
      <c r="A28" s="18" t="s">
        <v>543</v>
      </c>
      <c r="B28" s="93">
        <v>-70</v>
      </c>
      <c r="C28" s="8" t="s">
        <v>544</v>
      </c>
      <c r="D28" s="94">
        <v>-8</v>
      </c>
      <c r="E28" s="4"/>
      <c r="F28" s="4"/>
      <c r="G28" s="4"/>
      <c r="H28" s="4"/>
      <c r="I28" s="4"/>
      <c r="J28" s="4"/>
      <c r="K28" s="4"/>
      <c r="L28" s="4"/>
      <c r="M28" s="4"/>
      <c r="N28" s="4"/>
      <c r="O28" s="4"/>
      <c r="P28" s="4"/>
      <c r="Q28" s="4"/>
      <c r="R28" s="4"/>
      <c r="S28" s="4"/>
      <c r="T28" s="4"/>
      <c r="U28" s="101">
        <v>44287</v>
      </c>
      <c r="V28" s="102">
        <f>'04_Worked_Example'!Q50</f>
        <v>690.44690298929982</v>
      </c>
      <c r="W28" s="102">
        <f>'04_Worked_Example'!Q57</f>
        <v>101.53454444032388</v>
      </c>
      <c r="X28" s="4"/>
      <c r="Y28" s="4"/>
      <c r="Z28" s="4"/>
      <c r="AA28" s="4"/>
      <c r="AB28" s="4"/>
      <c r="AC28" s="4"/>
      <c r="AD28" s="4"/>
    </row>
    <row r="29" spans="1:30">
      <c r="A29" s="18" t="s">
        <v>550</v>
      </c>
      <c r="B29" s="93">
        <v>-95</v>
      </c>
      <c r="C29" s="8" t="s">
        <v>551</v>
      </c>
      <c r="D29" s="94">
        <v>-25</v>
      </c>
      <c r="E29" s="4"/>
      <c r="F29" s="4"/>
      <c r="G29" s="4"/>
      <c r="H29" s="4"/>
      <c r="I29" s="4"/>
      <c r="J29" s="4"/>
      <c r="K29" s="4"/>
      <c r="L29" s="4"/>
      <c r="M29" s="4"/>
      <c r="N29" s="4"/>
      <c r="O29" s="4"/>
      <c r="P29" s="4"/>
      <c r="Q29" s="4"/>
      <c r="R29" s="4"/>
      <c r="S29" s="4"/>
      <c r="T29" s="4"/>
      <c r="U29" s="101">
        <v>44317</v>
      </c>
      <c r="V29" s="102">
        <f>'04_Worked_Example'!R50</f>
        <v>715.20103142732341</v>
      </c>
      <c r="W29" s="102">
        <f>'04_Worked_Example'!R57</f>
        <v>107.83452057373029</v>
      </c>
      <c r="X29" s="4"/>
      <c r="Y29" s="4"/>
      <c r="Z29" s="4"/>
      <c r="AA29" s="4"/>
      <c r="AB29" s="4"/>
      <c r="AC29" s="4"/>
      <c r="AD29" s="4"/>
    </row>
    <row r="30" spans="1:30">
      <c r="A30" s="28" t="s">
        <v>571</v>
      </c>
      <c r="B30" s="96">
        <f>SUM(B23:B29)</f>
        <v>-345</v>
      </c>
      <c r="C30" s="10" t="s">
        <v>571</v>
      </c>
      <c r="D30" s="97">
        <f>SUM(D23:D29)</f>
        <v>-55</v>
      </c>
      <c r="E30" s="4"/>
      <c r="F30" s="4"/>
      <c r="G30" s="4"/>
      <c r="H30" s="4"/>
      <c r="I30" s="4"/>
      <c r="J30" s="4"/>
      <c r="K30" s="4"/>
      <c r="L30" s="4"/>
      <c r="M30" s="4"/>
      <c r="N30" s="4"/>
      <c r="O30" s="4"/>
      <c r="P30" s="4"/>
      <c r="Q30" s="4"/>
      <c r="R30" s="4"/>
      <c r="S30" s="4"/>
      <c r="T30" s="4"/>
      <c r="U30" s="101">
        <v>44348</v>
      </c>
      <c r="V30" s="102">
        <f>'04_Worked_Example'!S50</f>
        <v>746.50829334176933</v>
      </c>
      <c r="W30" s="102">
        <f>'04_Worked_Example'!S57</f>
        <v>115.80110511955502</v>
      </c>
      <c r="X30" s="4"/>
      <c r="Y30" s="4"/>
      <c r="Z30" s="4"/>
      <c r="AA30" s="4"/>
      <c r="AB30" s="4"/>
      <c r="AC30" s="4"/>
      <c r="AD30" s="4"/>
    </row>
    <row r="31" spans="1:30">
      <c r="A31" s="4"/>
      <c r="B31" s="4"/>
      <c r="C31" s="4"/>
      <c r="D31" s="4"/>
      <c r="E31" s="4"/>
      <c r="F31" s="4"/>
      <c r="G31" s="4"/>
      <c r="H31" s="4"/>
      <c r="I31" s="4"/>
      <c r="J31" s="4"/>
      <c r="K31" s="4"/>
      <c r="L31" s="4"/>
      <c r="M31" s="4"/>
      <c r="N31" s="4"/>
      <c r="O31" s="4"/>
      <c r="P31" s="4"/>
      <c r="Q31" s="4"/>
      <c r="R31" s="4"/>
      <c r="S31" s="4"/>
      <c r="T31" s="4"/>
      <c r="U31" s="101">
        <v>44378</v>
      </c>
      <c r="V31" s="102">
        <f>'04_Worked_Example'!T50</f>
        <v>774.2545195866453</v>
      </c>
      <c r="W31" s="102">
        <f>'04_Worked_Example'!T57</f>
        <v>122.86276206478556</v>
      </c>
      <c r="X31" s="4"/>
      <c r="Y31" s="4"/>
      <c r="Z31" s="4"/>
      <c r="AA31" s="4"/>
      <c r="AB31" s="4"/>
      <c r="AC31" s="4"/>
      <c r="AD31" s="4"/>
    </row>
    <row r="32" spans="1:30">
      <c r="A32" s="4"/>
      <c r="B32" s="4"/>
      <c r="C32" s="4"/>
      <c r="D32" s="4"/>
      <c r="E32" s="4"/>
      <c r="F32" s="4"/>
      <c r="G32" s="4"/>
      <c r="H32" s="4"/>
      <c r="I32" s="4"/>
      <c r="J32" s="4"/>
      <c r="K32" s="4"/>
      <c r="L32" s="4"/>
      <c r="M32" s="4"/>
      <c r="N32" s="4"/>
      <c r="O32" s="4"/>
      <c r="P32" s="4"/>
      <c r="Q32" s="4"/>
      <c r="R32" s="4"/>
      <c r="S32" s="4"/>
      <c r="T32" s="4"/>
      <c r="U32" s="101">
        <v>44409</v>
      </c>
      <c r="V32" s="102">
        <f>'04_Worked_Example'!U50</f>
        <v>786.41311314892505</v>
      </c>
      <c r="W32" s="102">
        <f>'04_Worked_Example'!U57</f>
        <v>125.96130726200352</v>
      </c>
      <c r="X32" s="4"/>
      <c r="Y32" s="4"/>
      <c r="Z32" s="4"/>
      <c r="AA32" s="4"/>
      <c r="AB32" s="4"/>
      <c r="AC32" s="4"/>
      <c r="AD32" s="4"/>
    </row>
    <row r="33" spans="1:30" ht="16" customHeight="1">
      <c r="A33" s="296" t="s">
        <v>572</v>
      </c>
      <c r="B33" s="296"/>
      <c r="C33" s="296"/>
      <c r="D33" s="296"/>
      <c r="E33" s="296"/>
      <c r="F33" s="296"/>
      <c r="G33" s="296"/>
      <c r="H33" s="296"/>
      <c r="I33" s="4"/>
      <c r="J33" s="4"/>
      <c r="K33" s="4"/>
      <c r="L33" s="4"/>
      <c r="M33" s="4"/>
      <c r="N33" s="4"/>
      <c r="O33" s="4"/>
      <c r="P33" s="4"/>
      <c r="Q33" s="4"/>
      <c r="R33" s="4"/>
      <c r="S33" s="4"/>
      <c r="T33" s="4"/>
      <c r="U33" s="101">
        <v>44440</v>
      </c>
      <c r="V33" s="102">
        <f>'04_Worked_Example'!V50</f>
        <v>788.51601562974531</v>
      </c>
      <c r="W33" s="102">
        <f>'04_Worked_Example'!V57</f>
        <v>126.50301659346871</v>
      </c>
      <c r="X33" s="4"/>
      <c r="Y33" s="4"/>
      <c r="Z33" s="4"/>
      <c r="AA33" s="4"/>
      <c r="AB33" s="4"/>
      <c r="AC33" s="4"/>
      <c r="AD33" s="4"/>
    </row>
    <row r="34" spans="1:30" ht="25.4" customHeight="1">
      <c r="A34" s="98" t="s">
        <v>573</v>
      </c>
      <c r="B34" s="99" t="s">
        <v>48</v>
      </c>
      <c r="C34" s="99" t="s">
        <v>66</v>
      </c>
      <c r="D34" s="99" t="s">
        <v>67</v>
      </c>
      <c r="E34" s="99" t="s">
        <v>68</v>
      </c>
      <c r="F34" s="99" t="s">
        <v>574</v>
      </c>
      <c r="G34" s="99" t="s">
        <v>464</v>
      </c>
      <c r="H34" s="100" t="s">
        <v>70</v>
      </c>
      <c r="I34" s="4"/>
      <c r="J34" s="4"/>
      <c r="K34" s="4"/>
      <c r="L34" s="4"/>
      <c r="M34" s="4"/>
      <c r="N34" s="4"/>
      <c r="O34" s="4"/>
      <c r="P34" s="4"/>
      <c r="Q34" s="4"/>
      <c r="R34" s="4"/>
      <c r="S34" s="4"/>
      <c r="T34" s="4"/>
      <c r="U34" s="101">
        <v>44470</v>
      </c>
      <c r="V34" s="102">
        <f>'04_Worked_Example'!W50</f>
        <v>781.7341755656131</v>
      </c>
      <c r="W34" s="102">
        <f>'04_Worked_Example'!W57</f>
        <v>124.78538842289015</v>
      </c>
      <c r="X34" s="4"/>
      <c r="Y34" s="4"/>
      <c r="Z34" s="4"/>
      <c r="AA34" s="4"/>
      <c r="AB34" s="4"/>
      <c r="AC34" s="4"/>
      <c r="AD34" s="4"/>
    </row>
    <row r="35" spans="1:30" ht="24.65" customHeight="1">
      <c r="A35" s="15" t="s">
        <v>489</v>
      </c>
      <c r="B35" s="16">
        <v>0.77</v>
      </c>
      <c r="C35" s="16">
        <v>0.66349078831212827</v>
      </c>
      <c r="D35" s="16">
        <v>0.99787718014505533</v>
      </c>
      <c r="E35" s="16">
        <v>0.1978669386968499</v>
      </c>
      <c r="F35" s="16">
        <v>0.3</v>
      </c>
      <c r="G35" s="6" t="str">
        <f>IF(MIN(B35:E35)&gt;=F35,"Green","Red")</f>
        <v>Red</v>
      </c>
      <c r="H35" s="7" t="s">
        <v>575</v>
      </c>
      <c r="I35" s="4"/>
      <c r="J35" s="4"/>
      <c r="K35" s="4"/>
      <c r="L35" s="4"/>
      <c r="M35" s="4"/>
      <c r="N35" s="4"/>
      <c r="O35" s="4"/>
      <c r="P35" s="4"/>
      <c r="Q35" s="4"/>
      <c r="R35" s="4"/>
      <c r="S35" s="4"/>
      <c r="T35" s="4"/>
      <c r="U35" s="101">
        <v>44501</v>
      </c>
      <c r="V35" s="102">
        <f>'04_Worked_Example'!X50</f>
        <v>752.79150042962351</v>
      </c>
      <c r="W35" s="102">
        <f>'04_Worked_Example'!X57</f>
        <v>117.43203430514734</v>
      </c>
      <c r="X35" s="4"/>
      <c r="Y35" s="4"/>
      <c r="Z35" s="4"/>
      <c r="AA35" s="4"/>
      <c r="AB35" s="4"/>
      <c r="AC35" s="4"/>
      <c r="AD35" s="4"/>
    </row>
    <row r="36" spans="1:30" ht="24.65" customHeight="1">
      <c r="A36" s="18" t="s">
        <v>490</v>
      </c>
      <c r="B36" s="19">
        <v>1.1000000000000001</v>
      </c>
      <c r="C36" s="19">
        <v>1.2392860448511807</v>
      </c>
      <c r="D36" s="19">
        <v>1.3186784275750343</v>
      </c>
      <c r="E36" s="19">
        <v>1.0462036036955895</v>
      </c>
      <c r="F36" s="19">
        <v>0.7</v>
      </c>
      <c r="G36" s="8" t="str">
        <f>IF(MIN(B36:E36)&gt;=F36,"Green","Red")</f>
        <v>Green</v>
      </c>
      <c r="H36" s="9" t="s">
        <v>576</v>
      </c>
      <c r="I36" s="4"/>
      <c r="J36" s="4"/>
      <c r="K36" s="4"/>
      <c r="L36" s="4"/>
      <c r="M36" s="4"/>
      <c r="N36" s="4"/>
      <c r="O36" s="4"/>
      <c r="P36" s="4"/>
      <c r="Q36" s="4"/>
      <c r="R36" s="4"/>
      <c r="S36" s="4"/>
      <c r="T36" s="4"/>
      <c r="U36" s="101">
        <v>44531</v>
      </c>
      <c r="V36" s="102">
        <f>'04_Worked_Example'!Y50</f>
        <v>703.11270303269021</v>
      </c>
      <c r="W36" s="102">
        <f>'04_Worked_Example'!Y57</f>
        <v>104.80469595990223</v>
      </c>
      <c r="X36" s="4"/>
      <c r="Y36" s="4"/>
      <c r="Z36" s="4"/>
      <c r="AA36" s="4"/>
      <c r="AB36" s="4"/>
      <c r="AC36" s="4"/>
      <c r="AD36" s="4"/>
    </row>
    <row r="37" spans="1:30" ht="24.65" customHeight="1">
      <c r="A37" s="18" t="s">
        <v>109</v>
      </c>
      <c r="B37" s="27">
        <v>56</v>
      </c>
      <c r="C37" s="27">
        <v>52</v>
      </c>
      <c r="D37" s="27">
        <v>49</v>
      </c>
      <c r="E37" s="27">
        <v>60</v>
      </c>
      <c r="F37" s="27">
        <v>58</v>
      </c>
      <c r="G37" s="8" t="str">
        <f>IF(MAX(B37:E37)&lt;=F37,"Green",IF(MAX(B37:E37)&lt;=F37*1.05,"Amber","Red"))</f>
        <v>Amber</v>
      </c>
      <c r="H37" s="9" t="s">
        <v>577</v>
      </c>
      <c r="I37" s="4"/>
      <c r="J37" s="4"/>
      <c r="K37" s="4"/>
      <c r="L37" s="4"/>
      <c r="M37" s="4"/>
      <c r="N37" s="4"/>
      <c r="O37" s="4"/>
      <c r="P37" s="4"/>
      <c r="Q37" s="4"/>
      <c r="R37" s="4"/>
      <c r="S37" s="4"/>
      <c r="T37" s="4"/>
      <c r="U37" s="101">
        <v>44562</v>
      </c>
      <c r="V37" s="102">
        <f>'04_Worked_Example'!Z50</f>
        <v>725.19489930840757</v>
      </c>
      <c r="W37" s="102">
        <f>'04_Worked_Example'!Z57</f>
        <v>101.82300121820822</v>
      </c>
      <c r="X37" s="4"/>
      <c r="Y37" s="4"/>
      <c r="Z37" s="4"/>
      <c r="AA37" s="4"/>
      <c r="AB37" s="4"/>
      <c r="AC37" s="4"/>
      <c r="AD37" s="4"/>
    </row>
    <row r="38" spans="1:30" ht="24.65" customHeight="1">
      <c r="A38" s="18" t="s">
        <v>578</v>
      </c>
      <c r="B38" s="27">
        <v>72</v>
      </c>
      <c r="C38" s="27">
        <v>66</v>
      </c>
      <c r="D38" s="27">
        <v>62</v>
      </c>
      <c r="E38" s="27">
        <v>78</v>
      </c>
      <c r="F38" s="27">
        <v>75</v>
      </c>
      <c r="G38" s="8" t="str">
        <f>IF(MAX(B38:E38)&lt;=F38,"Green",IF(MAX(B38:E38)&lt;=F38*1.05,"Amber","Red"))</f>
        <v>Amber</v>
      </c>
      <c r="H38" s="9" t="s">
        <v>579</v>
      </c>
      <c r="I38" s="4"/>
      <c r="J38" s="4"/>
      <c r="K38" s="4"/>
      <c r="L38" s="4"/>
      <c r="M38" s="4"/>
      <c r="N38" s="4"/>
      <c r="O38" s="4"/>
      <c r="P38" s="4"/>
      <c r="Q38" s="4"/>
      <c r="R38" s="4"/>
      <c r="S38" s="4"/>
      <c r="T38" s="4"/>
      <c r="U38" s="101">
        <v>44593</v>
      </c>
      <c r="V38" s="102">
        <f>'04_Worked_Example'!AA50</f>
        <v>741.14134549258335</v>
      </c>
      <c r="W38" s="102">
        <f>'04_Worked_Example'!AA57</f>
        <v>105.77372062884228</v>
      </c>
      <c r="X38" s="4"/>
      <c r="Y38" s="4"/>
      <c r="Z38" s="4"/>
      <c r="AA38" s="4"/>
      <c r="AB38" s="4"/>
      <c r="AC38" s="4"/>
      <c r="AD38" s="4"/>
    </row>
    <row r="39" spans="1:30" ht="24.65" customHeight="1">
      <c r="A39" s="28" t="s">
        <v>384</v>
      </c>
      <c r="B39" s="95">
        <v>0.35</v>
      </c>
      <c r="C39" s="95">
        <v>0.42336255469654366</v>
      </c>
      <c r="D39" s="95">
        <v>0.49015130798537088</v>
      </c>
      <c r="E39" s="95">
        <v>0.31600473662969347</v>
      </c>
      <c r="F39" s="95">
        <v>0.5</v>
      </c>
      <c r="G39" s="10" t="str">
        <f>IF(MAX(B39:E39)&lt;=F39,"Green","Amber")</f>
        <v>Green</v>
      </c>
      <c r="H39" s="11" t="s">
        <v>580</v>
      </c>
      <c r="I39" s="4"/>
      <c r="J39" s="4"/>
      <c r="K39" s="4"/>
      <c r="L39" s="4"/>
      <c r="M39" s="4"/>
      <c r="N39" s="4"/>
      <c r="O39" s="4"/>
      <c r="P39" s="4"/>
      <c r="Q39" s="4"/>
      <c r="R39" s="4"/>
      <c r="S39" s="4"/>
      <c r="T39" s="4"/>
      <c r="U39" s="101">
        <v>44621</v>
      </c>
      <c r="V39" s="102">
        <f>'04_Worked_Example'!AB50</f>
        <v>774.75956709833645</v>
      </c>
      <c r="W39" s="102">
        <f>'04_Worked_Example'!AB57</f>
        <v>114.08208829390628</v>
      </c>
      <c r="X39" s="4"/>
      <c r="Y39" s="4"/>
      <c r="Z39" s="4"/>
      <c r="AA39" s="4"/>
      <c r="AB39" s="4"/>
      <c r="AC39" s="4"/>
      <c r="AD39" s="4"/>
    </row>
    <row r="40" spans="1:30">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row>
    <row r="41" spans="1:30">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row>
    <row r="42" spans="1:30" ht="16" customHeight="1">
      <c r="A42" s="195" t="s">
        <v>581</v>
      </c>
      <c r="B42" s="195"/>
      <c r="C42" s="195"/>
      <c r="D42" s="195"/>
      <c r="E42" s="195"/>
      <c r="F42" s="195"/>
      <c r="G42" s="195"/>
      <c r="H42" s="195"/>
      <c r="I42" s="4"/>
      <c r="J42" s="4"/>
      <c r="K42" s="4"/>
      <c r="L42" s="4"/>
      <c r="M42" s="4"/>
      <c r="N42" s="4"/>
      <c r="O42" s="4"/>
      <c r="P42" s="4"/>
      <c r="Q42" s="4"/>
      <c r="R42" s="4"/>
      <c r="S42" s="4"/>
      <c r="T42" s="4"/>
      <c r="U42" s="4" t="s">
        <v>569</v>
      </c>
      <c r="V42" s="4" t="s">
        <v>582</v>
      </c>
      <c r="W42" s="4"/>
      <c r="X42" s="4"/>
      <c r="Y42" s="4"/>
      <c r="Z42" s="4"/>
      <c r="AA42" s="4"/>
      <c r="AB42" s="4"/>
      <c r="AC42" s="4"/>
      <c r="AD42" s="4"/>
    </row>
    <row r="43" spans="1:30" ht="25.4" customHeight="1">
      <c r="A43" s="12" t="s">
        <v>494</v>
      </c>
      <c r="B43" s="13" t="s">
        <v>495</v>
      </c>
      <c r="C43" s="13" t="s">
        <v>583</v>
      </c>
      <c r="D43" s="13" t="s">
        <v>462</v>
      </c>
      <c r="E43" s="13" t="s">
        <v>584</v>
      </c>
      <c r="F43" s="13" t="s">
        <v>585</v>
      </c>
      <c r="G43" s="13" t="s">
        <v>464</v>
      </c>
      <c r="H43" s="14" t="s">
        <v>586</v>
      </c>
      <c r="I43" s="4"/>
      <c r="J43" s="4"/>
      <c r="K43" s="4"/>
      <c r="L43" s="4"/>
      <c r="M43" s="4"/>
      <c r="N43" s="4"/>
      <c r="O43" s="4"/>
      <c r="P43" s="4"/>
      <c r="Q43" s="4"/>
      <c r="R43" s="4"/>
      <c r="S43" s="4"/>
      <c r="T43" s="4"/>
      <c r="U43" s="4" t="s">
        <v>506</v>
      </c>
      <c r="V43" s="4">
        <v>-310</v>
      </c>
      <c r="W43" s="4"/>
      <c r="X43" s="4"/>
      <c r="Y43" s="4"/>
      <c r="Z43" s="4"/>
      <c r="AA43" s="4"/>
      <c r="AB43" s="4"/>
      <c r="AC43" s="4"/>
      <c r="AD43" s="4"/>
    </row>
    <row r="44" spans="1:30" ht="25.4" customHeight="1">
      <c r="A44" s="15">
        <v>1</v>
      </c>
      <c r="B44" s="6" t="s">
        <v>500</v>
      </c>
      <c r="C44" s="6" t="s">
        <v>587</v>
      </c>
      <c r="D44" s="6" t="s">
        <v>502</v>
      </c>
      <c r="E44" s="6" t="s">
        <v>244</v>
      </c>
      <c r="F44" s="6" t="s">
        <v>588</v>
      </c>
      <c r="G44" s="6" t="s">
        <v>589</v>
      </c>
      <c r="H44" s="7" t="s">
        <v>590</v>
      </c>
      <c r="I44" s="4"/>
      <c r="J44" s="4"/>
      <c r="K44" s="4"/>
      <c r="L44" s="4"/>
      <c r="M44" s="4"/>
      <c r="N44" s="4"/>
      <c r="O44" s="4"/>
      <c r="P44" s="4"/>
      <c r="Q44" s="4"/>
      <c r="R44" s="4"/>
      <c r="S44" s="4"/>
      <c r="T44" s="4"/>
      <c r="U44" s="4" t="s">
        <v>514</v>
      </c>
      <c r="V44" s="4">
        <v>80</v>
      </c>
      <c r="W44" s="4"/>
      <c r="X44" s="4"/>
      <c r="Y44" s="4"/>
      <c r="Z44" s="4"/>
      <c r="AA44" s="4"/>
      <c r="AB44" s="4"/>
      <c r="AC44" s="4"/>
      <c r="AD44" s="4"/>
    </row>
    <row r="45" spans="1:30" ht="25.4" customHeight="1">
      <c r="A45" s="18">
        <v>2</v>
      </c>
      <c r="B45" s="8" t="s">
        <v>591</v>
      </c>
      <c r="C45" s="8" t="s">
        <v>592</v>
      </c>
      <c r="D45" s="8" t="s">
        <v>510</v>
      </c>
      <c r="E45" s="8" t="s">
        <v>593</v>
      </c>
      <c r="F45" s="8" t="s">
        <v>154</v>
      </c>
      <c r="G45" s="8" t="s">
        <v>589</v>
      </c>
      <c r="H45" s="9" t="s">
        <v>594</v>
      </c>
      <c r="I45" s="4"/>
      <c r="J45" s="4"/>
      <c r="K45" s="4"/>
      <c r="L45" s="4"/>
      <c r="M45" s="4"/>
      <c r="N45" s="4"/>
      <c r="O45" s="4"/>
      <c r="P45" s="4"/>
      <c r="Q45" s="4"/>
      <c r="R45" s="4"/>
      <c r="S45" s="4"/>
      <c r="T45" s="4"/>
      <c r="U45" s="4" t="s">
        <v>523</v>
      </c>
      <c r="V45" s="4">
        <v>-90</v>
      </c>
      <c r="W45" s="4"/>
      <c r="X45" s="4"/>
      <c r="Y45" s="4"/>
      <c r="Z45" s="4"/>
      <c r="AA45" s="4"/>
      <c r="AB45" s="4"/>
      <c r="AC45" s="4"/>
      <c r="AD45" s="4"/>
    </row>
    <row r="46" spans="1:30" ht="25.4" customHeight="1">
      <c r="A46" s="18">
        <v>3</v>
      </c>
      <c r="B46" s="8" t="s">
        <v>516</v>
      </c>
      <c r="C46" s="8" t="s">
        <v>595</v>
      </c>
      <c r="D46" s="8" t="s">
        <v>518</v>
      </c>
      <c r="E46" s="8" t="s">
        <v>323</v>
      </c>
      <c r="F46" s="8" t="s">
        <v>588</v>
      </c>
      <c r="G46" s="8" t="s">
        <v>589</v>
      </c>
      <c r="H46" s="9" t="s">
        <v>596</v>
      </c>
      <c r="I46" s="4"/>
      <c r="J46" s="4"/>
      <c r="K46" s="4"/>
      <c r="L46" s="4"/>
      <c r="M46" s="4"/>
      <c r="N46" s="4"/>
      <c r="O46" s="4"/>
      <c r="P46" s="4"/>
      <c r="Q46" s="4"/>
      <c r="R46" s="4"/>
      <c r="S46" s="4"/>
      <c r="T46" s="4"/>
      <c r="U46" s="4" t="s">
        <v>530</v>
      </c>
      <c r="V46" s="4">
        <v>95</v>
      </c>
      <c r="W46" s="4"/>
      <c r="X46" s="4"/>
      <c r="Y46" s="4"/>
      <c r="Z46" s="4"/>
      <c r="AA46" s="4"/>
      <c r="AB46" s="4"/>
      <c r="AC46" s="4"/>
      <c r="AD46" s="4"/>
    </row>
    <row r="47" spans="1:30" ht="25.4" customHeight="1">
      <c r="A47" s="18">
        <v>4</v>
      </c>
      <c r="B47" s="8" t="s">
        <v>525</v>
      </c>
      <c r="C47" s="8" t="s">
        <v>597</v>
      </c>
      <c r="D47" s="8" t="s">
        <v>527</v>
      </c>
      <c r="E47" s="8" t="s">
        <v>333</v>
      </c>
      <c r="F47" s="8" t="s">
        <v>598</v>
      </c>
      <c r="G47" s="8" t="s">
        <v>599</v>
      </c>
      <c r="H47" s="9" t="s">
        <v>600</v>
      </c>
      <c r="I47" s="4"/>
      <c r="J47" s="4"/>
      <c r="K47" s="4"/>
      <c r="L47" s="4"/>
      <c r="M47" s="4"/>
      <c r="N47" s="4"/>
      <c r="O47" s="4"/>
      <c r="P47" s="4"/>
      <c r="Q47" s="4"/>
      <c r="R47" s="4"/>
      <c r="S47" s="4"/>
      <c r="T47" s="4"/>
      <c r="U47" s="4" t="s">
        <v>536</v>
      </c>
      <c r="V47" s="4">
        <v>45</v>
      </c>
      <c r="W47" s="4"/>
      <c r="X47" s="4"/>
      <c r="Y47" s="4"/>
      <c r="Z47" s="4"/>
      <c r="AA47" s="4"/>
      <c r="AB47" s="4"/>
      <c r="AC47" s="4"/>
      <c r="AD47" s="4"/>
    </row>
    <row r="48" spans="1:30" ht="25.4" customHeight="1">
      <c r="A48" s="18">
        <v>5</v>
      </c>
      <c r="B48" s="8" t="s">
        <v>601</v>
      </c>
      <c r="C48" s="8" t="s">
        <v>602</v>
      </c>
      <c r="D48" s="8" t="s">
        <v>603</v>
      </c>
      <c r="E48" s="8" t="s">
        <v>254</v>
      </c>
      <c r="F48" s="8" t="s">
        <v>598</v>
      </c>
      <c r="G48" s="8" t="s">
        <v>604</v>
      </c>
      <c r="H48" s="9" t="s">
        <v>605</v>
      </c>
      <c r="I48" s="4"/>
      <c r="J48" s="4"/>
      <c r="K48" s="4"/>
      <c r="L48" s="4"/>
      <c r="M48" s="4"/>
      <c r="N48" s="4"/>
      <c r="O48" s="4"/>
      <c r="P48" s="4"/>
      <c r="Q48" s="4"/>
      <c r="R48" s="4"/>
      <c r="S48" s="4"/>
      <c r="T48" s="4"/>
      <c r="U48" s="4" t="s">
        <v>543</v>
      </c>
      <c r="V48" s="4">
        <v>-70</v>
      </c>
      <c r="W48" s="4"/>
      <c r="X48" s="4"/>
      <c r="Y48" s="4"/>
      <c r="Z48" s="4"/>
      <c r="AA48" s="4"/>
      <c r="AB48" s="4"/>
      <c r="AC48" s="4"/>
      <c r="AD48" s="4"/>
    </row>
    <row r="49" spans="1:30" ht="25.4" customHeight="1">
      <c r="A49" s="28">
        <v>6</v>
      </c>
      <c r="B49" s="10" t="s">
        <v>538</v>
      </c>
      <c r="C49" s="10" t="s">
        <v>539</v>
      </c>
      <c r="D49" s="10" t="s">
        <v>540</v>
      </c>
      <c r="E49" s="10" t="s">
        <v>323</v>
      </c>
      <c r="F49" s="10" t="s">
        <v>606</v>
      </c>
      <c r="G49" s="10" t="s">
        <v>607</v>
      </c>
      <c r="H49" s="11" t="s">
        <v>608</v>
      </c>
      <c r="I49" s="4"/>
      <c r="J49" s="4"/>
      <c r="K49" s="4"/>
      <c r="L49" s="4"/>
      <c r="M49" s="4"/>
      <c r="N49" s="4"/>
      <c r="O49" s="4"/>
      <c r="P49" s="4"/>
      <c r="Q49" s="4"/>
      <c r="R49" s="4"/>
      <c r="S49" s="4"/>
      <c r="T49" s="4"/>
      <c r="U49" s="4" t="s">
        <v>550</v>
      </c>
      <c r="V49" s="4">
        <v>-95</v>
      </c>
      <c r="W49" s="4"/>
      <c r="X49" s="4"/>
      <c r="Y49" s="4"/>
      <c r="Z49" s="4"/>
      <c r="AA49" s="4"/>
      <c r="AB49" s="4"/>
      <c r="AC49" s="4"/>
      <c r="AD49" s="4"/>
    </row>
    <row r="50" spans="1:30">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row>
    <row r="51" spans="1:30">
      <c r="A51" s="4"/>
      <c r="B51" s="4"/>
      <c r="C51" s="4"/>
      <c r="D51" s="4"/>
      <c r="E51" s="4"/>
      <c r="F51" s="4"/>
      <c r="G51" s="4"/>
      <c r="H51" s="4"/>
      <c r="I51" s="4"/>
      <c r="J51" s="297" t="s">
        <v>609</v>
      </c>
      <c r="K51" s="298"/>
      <c r="L51" s="298"/>
      <c r="M51" s="298"/>
      <c r="N51" s="298"/>
      <c r="O51" s="298"/>
      <c r="P51" s="298"/>
      <c r="Q51" s="298"/>
      <c r="R51" s="298"/>
      <c r="S51" s="298"/>
      <c r="T51" s="299"/>
      <c r="U51" s="4"/>
      <c r="V51" s="4"/>
      <c r="W51" s="4"/>
      <c r="X51" s="4"/>
      <c r="Y51" s="4"/>
      <c r="Z51" s="4"/>
      <c r="AA51" s="4"/>
      <c r="AB51" s="4"/>
      <c r="AC51" s="4"/>
      <c r="AD51" s="4"/>
    </row>
    <row r="52" spans="1:30">
      <c r="A52" s="4"/>
      <c r="B52" s="4"/>
      <c r="C52" s="4"/>
      <c r="D52" s="4"/>
      <c r="E52" s="4"/>
      <c r="F52" s="4"/>
      <c r="G52" s="4"/>
      <c r="H52" s="4"/>
      <c r="I52" s="4"/>
      <c r="J52" s="300"/>
      <c r="K52" s="301"/>
      <c r="L52" s="301"/>
      <c r="M52" s="301"/>
      <c r="N52" s="301"/>
      <c r="O52" s="301"/>
      <c r="P52" s="301"/>
      <c r="Q52" s="301"/>
      <c r="R52" s="301"/>
      <c r="S52" s="301"/>
      <c r="T52" s="302"/>
      <c r="U52" s="4"/>
      <c r="V52" s="4"/>
      <c r="W52" s="4"/>
      <c r="X52" s="4"/>
      <c r="Y52" s="4"/>
      <c r="Z52" s="4"/>
      <c r="AA52" s="4"/>
      <c r="AB52" s="4"/>
      <c r="AC52" s="4"/>
      <c r="AD52" s="4"/>
    </row>
    <row r="53" spans="1:30">
      <c r="A53" s="4"/>
      <c r="B53" s="4"/>
      <c r="C53" s="4"/>
      <c r="D53" s="4"/>
      <c r="E53" s="4"/>
      <c r="F53" s="4"/>
      <c r="G53" s="4"/>
      <c r="H53" s="4"/>
      <c r="I53" s="4"/>
      <c r="J53" s="300"/>
      <c r="K53" s="301"/>
      <c r="L53" s="301"/>
      <c r="M53" s="301"/>
      <c r="N53" s="301"/>
      <c r="O53" s="301"/>
      <c r="P53" s="301"/>
      <c r="Q53" s="301"/>
      <c r="R53" s="301"/>
      <c r="S53" s="301"/>
      <c r="T53" s="302"/>
      <c r="U53" s="4"/>
      <c r="V53" s="4"/>
      <c r="W53" s="4"/>
      <c r="X53" s="4"/>
      <c r="Y53" s="4"/>
      <c r="Z53" s="4"/>
      <c r="AA53" s="4"/>
      <c r="AB53" s="4"/>
      <c r="AC53" s="4"/>
      <c r="AD53" s="4"/>
    </row>
    <row r="54" spans="1:30">
      <c r="A54" s="4"/>
      <c r="B54" s="4"/>
      <c r="C54" s="4"/>
      <c r="D54" s="4"/>
      <c r="E54" s="4"/>
      <c r="F54" s="4"/>
      <c r="G54" s="4"/>
      <c r="H54" s="4"/>
      <c r="I54" s="4"/>
      <c r="J54" s="300"/>
      <c r="K54" s="301"/>
      <c r="L54" s="301"/>
      <c r="M54" s="301"/>
      <c r="N54" s="301"/>
      <c r="O54" s="301"/>
      <c r="P54" s="301"/>
      <c r="Q54" s="301"/>
      <c r="R54" s="301"/>
      <c r="S54" s="301"/>
      <c r="T54" s="302"/>
      <c r="U54" s="4"/>
      <c r="V54" s="4"/>
      <c r="W54" s="4"/>
      <c r="X54" s="4"/>
      <c r="Y54" s="4"/>
      <c r="Z54" s="4"/>
      <c r="AA54" s="4"/>
      <c r="AB54" s="4"/>
      <c r="AC54" s="4"/>
      <c r="AD54" s="4"/>
    </row>
    <row r="55" spans="1:30">
      <c r="A55" s="4"/>
      <c r="B55" s="4"/>
      <c r="C55" s="4"/>
      <c r="D55" s="4"/>
      <c r="E55" s="4"/>
      <c r="F55" s="4"/>
      <c r="G55" s="4"/>
      <c r="H55" s="4"/>
      <c r="I55" s="4"/>
      <c r="J55" s="300"/>
      <c r="K55" s="301"/>
      <c r="L55" s="301"/>
      <c r="M55" s="301"/>
      <c r="N55" s="301"/>
      <c r="O55" s="301"/>
      <c r="P55" s="301"/>
      <c r="Q55" s="301"/>
      <c r="R55" s="301"/>
      <c r="S55" s="301"/>
      <c r="T55" s="302"/>
      <c r="U55" s="4"/>
      <c r="V55" s="4"/>
      <c r="W55" s="4"/>
      <c r="X55" s="4"/>
      <c r="Y55" s="4"/>
      <c r="Z55" s="4"/>
      <c r="AA55" s="4"/>
      <c r="AB55" s="4"/>
      <c r="AC55" s="4"/>
      <c r="AD55" s="4"/>
    </row>
    <row r="56" spans="1:30">
      <c r="A56" s="4"/>
      <c r="B56" s="4"/>
      <c r="C56" s="4"/>
      <c r="D56" s="4"/>
      <c r="E56" s="4"/>
      <c r="F56" s="4"/>
      <c r="G56" s="4"/>
      <c r="H56" s="4"/>
      <c r="I56" s="4"/>
      <c r="J56" s="303"/>
      <c r="K56" s="304"/>
      <c r="L56" s="304"/>
      <c r="M56" s="304"/>
      <c r="N56" s="304"/>
      <c r="O56" s="304"/>
      <c r="P56" s="304"/>
      <c r="Q56" s="304"/>
      <c r="R56" s="304"/>
      <c r="S56" s="304"/>
      <c r="T56" s="305"/>
      <c r="U56" s="4"/>
      <c r="V56" s="4"/>
      <c r="W56" s="4"/>
      <c r="X56" s="4"/>
      <c r="Y56" s="4"/>
      <c r="Z56" s="4"/>
      <c r="AA56" s="4"/>
      <c r="AB56" s="4"/>
      <c r="AC56" s="4"/>
      <c r="AD56" s="4"/>
    </row>
    <row r="57" spans="1:30">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row>
    <row r="58" spans="1:30" ht="13.4" customHeight="1">
      <c r="A58" s="220" t="s">
        <v>610</v>
      </c>
      <c r="B58" s="220"/>
      <c r="C58" s="220"/>
      <c r="D58" s="220"/>
      <c r="E58" s="220"/>
      <c r="F58" s="220"/>
      <c r="G58" s="220"/>
      <c r="H58" s="220"/>
      <c r="I58" s="220"/>
      <c r="J58" s="220"/>
      <c r="K58" s="220"/>
      <c r="L58" s="220"/>
      <c r="M58" s="220"/>
      <c r="N58" s="220"/>
      <c r="O58" s="220"/>
      <c r="P58" s="220"/>
      <c r="Q58" s="220"/>
      <c r="R58" s="220"/>
      <c r="S58" s="220"/>
      <c r="T58" s="220"/>
      <c r="U58" s="4"/>
      <c r="V58" s="4"/>
      <c r="W58" s="4"/>
      <c r="X58" s="4"/>
      <c r="Y58" s="4"/>
      <c r="Z58" s="4"/>
      <c r="AA58" s="4"/>
      <c r="AB58" s="4"/>
      <c r="AC58" s="4"/>
      <c r="AD58" s="4"/>
    </row>
    <row r="59" spans="1:30">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row>
    <row r="60" spans="1:30">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row>
    <row r="61" spans="1:30">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row>
    <row r="62" spans="1:30">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row>
    <row r="63" spans="1:30">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row>
    <row r="64" spans="1:30">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row>
    <row r="65" spans="1:30">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row>
    <row r="66" spans="1:30">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row>
    <row r="67" spans="1:30">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row>
    <row r="68" spans="1:30">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row>
    <row r="69" spans="1:30">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row>
    <row r="70" spans="1:30">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row>
    <row r="71" spans="1:30">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row>
    <row r="72" spans="1:30">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row>
    <row r="73" spans="1:30">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row>
    <row r="74" spans="1:30">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row>
    <row r="75" spans="1:30">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row>
    <row r="76" spans="1:30">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row>
    <row r="77" spans="1:30">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row>
    <row r="78" spans="1:30">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row>
    <row r="79" spans="1:30">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row>
    <row r="80" spans="1:30">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row>
    <row r="81" spans="1:30">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row>
    <row r="82" spans="1:30">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row>
    <row r="83" spans="1:30">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row>
    <row r="84" spans="1:30">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row>
    <row r="85" spans="1:30">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row>
    <row r="86" spans="1:30">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row>
    <row r="87" spans="1:30">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row>
    <row r="88" spans="1:30">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row>
    <row r="89" spans="1:30">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row>
    <row r="90" spans="1:30">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row>
  </sheetData>
  <mergeCells count="19">
    <mergeCell ref="A42:H42"/>
    <mergeCell ref="J51:T56"/>
    <mergeCell ref="A58:T58"/>
    <mergeCell ref="P7:T9"/>
    <mergeCell ref="A11:T11"/>
    <mergeCell ref="A13:H13"/>
    <mergeCell ref="A21:H21"/>
    <mergeCell ref="A33:H33"/>
    <mergeCell ref="A7:D9"/>
    <mergeCell ref="F6:I6"/>
    <mergeCell ref="F7:I9"/>
    <mergeCell ref="K6:N6"/>
    <mergeCell ref="K7:N9"/>
    <mergeCell ref="A1:G1"/>
    <mergeCell ref="H1:T1"/>
    <mergeCell ref="A2:T2"/>
    <mergeCell ref="A3:T3"/>
    <mergeCell ref="A6:D6"/>
    <mergeCell ref="P6:T6"/>
  </mergeCells>
  <conditionalFormatting sqref="B15:G17">
    <cfRule type="colorScale" priority="1">
      <colorScale>
        <cfvo type="min"/>
        <cfvo type="percentile" val="50"/>
        <cfvo type="max"/>
        <color rgb="FFF5DFDE"/>
        <color rgb="FFF7EDCF"/>
        <color rgb="FFE1EFE7"/>
      </colorScale>
    </cfRule>
  </conditionalFormatting>
  <conditionalFormatting sqref="B23:B29">
    <cfRule type="colorScale" priority="2">
      <colorScale>
        <cfvo type="min"/>
        <cfvo type="percentile" val="50"/>
        <cfvo type="max"/>
        <color rgb="FFF5DFDE"/>
        <color rgb="FFF7EDCF"/>
        <color rgb="FFE1EFE7"/>
      </colorScale>
    </cfRule>
  </conditionalFormatting>
  <conditionalFormatting sqref="D23:D29">
    <cfRule type="colorScale" priority="3">
      <colorScale>
        <cfvo type="min"/>
        <cfvo type="percentile" val="50"/>
        <cfvo type="max"/>
        <color rgb="FFF5DFDE"/>
        <color rgb="FFF7EDCF"/>
        <color rgb="FFE1EFE7"/>
      </colorScale>
    </cfRule>
  </conditionalFormatting>
  <conditionalFormatting sqref="G35:G39">
    <cfRule type="expression" dxfId="5" priority="4">
      <formula>G35="Green"</formula>
    </cfRule>
    <cfRule type="expression" dxfId="4" priority="5">
      <formula>G35="Amber"</formula>
    </cfRule>
    <cfRule type="expression" dxfId="3" priority="6">
      <formula>G35="Red"</formula>
    </cfRule>
  </conditionalFormatting>
  <conditionalFormatting sqref="G44:G49">
    <cfRule type="expression" dxfId="2" priority="7">
      <formula>G44="In Progress"</formula>
    </cfRule>
    <cfRule type="expression" dxfId="1" priority="8">
      <formula>G44="Ready"</formula>
    </cfRule>
    <cfRule type="expression" dxfId="0" priority="9">
      <formula>G44="Option Held"</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6</vt:i4>
      </vt:variant>
    </vt:vector>
  </HeadingPairs>
  <TitlesOfParts>
    <vt:vector size="6" baseType="lpstr">
      <vt:lpstr>00_Planning_Control_Tower</vt:lpstr>
      <vt:lpstr>01_Business_Case</vt:lpstr>
      <vt:lpstr>02_Driver_Dictionary</vt:lpstr>
      <vt:lpstr>03_Rolling_Forecast_Template</vt:lpstr>
      <vt:lpstr>04_Worked_Example</vt:lpstr>
      <vt:lpstr>05_Executive_Control_Tower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2026-07-19T05:40:52Z</dcterms:modified>
</cp:coreProperties>
</file>